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firstSheet="4" activeTab="6"/>
  </bookViews>
  <sheets>
    <sheet name="Changes in equity" sheetId="1" r:id="rId1"/>
    <sheet name="Cash Flow (2)" sheetId="2" r:id="rId2"/>
    <sheet name="Cash Flow" sheetId="3" r:id="rId3"/>
    <sheet name="Income statement" sheetId="4" r:id="rId4"/>
    <sheet name="Balance sheet" sheetId="5" r:id="rId5"/>
    <sheet name="Note" sheetId="6" r:id="rId6"/>
    <sheet name="Note1" sheetId="7" r:id="rId7"/>
    <sheet name="Sheet13" sheetId="8" r:id="rId8"/>
    <sheet name="Sheet14" sheetId="9" r:id="rId9"/>
    <sheet name="Sheet15" sheetId="10" r:id="rId10"/>
    <sheet name="Sheet16" sheetId="11" r:id="rId11"/>
  </sheets>
  <externalReferences>
    <externalReference r:id="rId14"/>
    <externalReference r:id="rId15"/>
  </externalReferences>
  <definedNames/>
  <calcPr fullCalcOnLoad="1"/>
</workbook>
</file>

<file path=xl/comments5.xml><?xml version="1.0" encoding="utf-8"?>
<comments xmlns="http://schemas.openxmlformats.org/spreadsheetml/2006/main">
  <authors>
    <author>shipping</author>
  </authors>
  <commentList>
    <comment ref="K24" authorId="0">
      <text>
        <r>
          <rPr>
            <sz val="8"/>
            <rFont val="Tahoma"/>
            <family val="0"/>
          </rPr>
          <t xml:space="preserve">amount owing to holding company
</t>
        </r>
      </text>
    </comment>
    <comment ref="K16" authorId="0">
      <text>
        <r>
          <rPr>
            <sz val="8"/>
            <rFont val="Tahoma"/>
            <family val="0"/>
          </rPr>
          <t xml:space="preserve">amount owing by sub
</t>
        </r>
      </text>
    </comment>
    <comment ref="J15" authorId="0">
      <text>
        <r>
          <rPr>
            <sz val="8"/>
            <rFont val="Tahoma"/>
            <family val="0"/>
          </rPr>
          <t xml:space="preserve">provision for taxation
</t>
        </r>
      </text>
    </comment>
    <comment ref="I15" authorId="0">
      <text>
        <r>
          <rPr>
            <sz val="8"/>
            <rFont val="Tahoma"/>
            <family val="0"/>
          </rPr>
          <t xml:space="preserve">provision for taxation
</t>
        </r>
      </text>
    </comment>
  </commentList>
</comments>
</file>

<file path=xl/sharedStrings.xml><?xml version="1.0" encoding="utf-8"?>
<sst xmlns="http://schemas.openxmlformats.org/spreadsheetml/2006/main" count="696" uniqueCount="319">
  <si>
    <t>SUPERCOMAL TECHNOLOGIES BERHAD (197527-H)</t>
  </si>
  <si>
    <t>(Incorporated in Malaysia)</t>
  </si>
  <si>
    <t>Condensed Consolidated Statements of Changes in Equity</t>
  </si>
  <si>
    <t>( Unaudited )</t>
  </si>
  <si>
    <t xml:space="preserve">  Reserve</t>
  </si>
  <si>
    <t xml:space="preserve">   Reserve</t>
  </si>
  <si>
    <t xml:space="preserve"> </t>
  </si>
  <si>
    <t xml:space="preserve">    Share</t>
  </si>
  <si>
    <t>Attributable</t>
  </si>
  <si>
    <t xml:space="preserve"> Attributable</t>
  </si>
  <si>
    <t xml:space="preserve">  Retained</t>
  </si>
  <si>
    <t xml:space="preserve">     Total</t>
  </si>
  <si>
    <t xml:space="preserve">   Capital </t>
  </si>
  <si>
    <t xml:space="preserve"> To Capital</t>
  </si>
  <si>
    <t xml:space="preserve"> To Revenue</t>
  </si>
  <si>
    <t xml:space="preserve">     Profit</t>
  </si>
  <si>
    <t xml:space="preserve">    RM'   000 </t>
  </si>
  <si>
    <t xml:space="preserve">      RM'   000 </t>
  </si>
  <si>
    <t xml:space="preserve">         RM'   000 </t>
  </si>
  <si>
    <t xml:space="preserve">     RM'   000 </t>
  </si>
  <si>
    <t>(cumulative)</t>
  </si>
  <si>
    <t>Dividends</t>
  </si>
  <si>
    <t>Net profit after tax for the period</t>
  </si>
  <si>
    <t>work sheet</t>
  </si>
  <si>
    <t>Condensed Consolidated Cash Flow Statements</t>
  </si>
  <si>
    <t>ended</t>
  </si>
  <si>
    <t>30/06/2003</t>
  </si>
  <si>
    <t xml:space="preserve"> RM ’000</t>
  </si>
  <si>
    <t>Net Profit/(loss) before Tax</t>
  </si>
  <si>
    <t>Adjustment for non-cash flow;-</t>
  </si>
  <si>
    <t>Depreciation of fixed Asset *sheet 12</t>
  </si>
  <si>
    <t>Non-cash items</t>
  </si>
  <si>
    <t>interest  expense     #P/L</t>
  </si>
  <si>
    <t>Non- operating items (which are investing/financing)</t>
  </si>
  <si>
    <t xml:space="preserve">Provision for slow moving stock reversel </t>
  </si>
  <si>
    <t>interest received</t>
  </si>
  <si>
    <t>Operating profit before changes in working capital</t>
  </si>
  <si>
    <t>refer to B/S</t>
  </si>
  <si>
    <t>Changes in Working Capital</t>
  </si>
  <si>
    <t>Net Change in Inventories</t>
  </si>
  <si>
    <t xml:space="preserve">Net Change in Inventories   </t>
  </si>
  <si>
    <t>Net Change in current assets</t>
  </si>
  <si>
    <t>Net Change in current liabilities</t>
  </si>
  <si>
    <t xml:space="preserve">Cash generated from/(used in) operation </t>
  </si>
  <si>
    <t>Tax paid</t>
  </si>
  <si>
    <t>Net cash flow generated from/</t>
  </si>
  <si>
    <t>( used in) operating activities</t>
  </si>
  <si>
    <t>CASH FLOWS FROM INVESTING ACTIVITIES</t>
  </si>
  <si>
    <t>Interest received</t>
  </si>
  <si>
    <t>P/L</t>
  </si>
  <si>
    <t>Purchase of property, plant &amp; equipment</t>
  </si>
  <si>
    <t>Sheet 12</t>
  </si>
  <si>
    <t>Proceed from Disposal of fixed assets</t>
  </si>
  <si>
    <t>Asset Rec</t>
  </si>
  <si>
    <t>Net cash (used in)/generated from investing activities</t>
  </si>
  <si>
    <t>CASH FLOWS FROM FINANCING  ACTIVITIES</t>
  </si>
  <si>
    <t xml:space="preserve">Dividends paid </t>
  </si>
  <si>
    <t xml:space="preserve">Repayment Bank loan &amp; interest </t>
  </si>
  <si>
    <t>Loan B/S</t>
  </si>
  <si>
    <t>Net cash (used in)/generated from financing activities</t>
  </si>
  <si>
    <t>Net change in Cash &amp; Cash Equivalents</t>
  </si>
  <si>
    <t>Cash &amp; Cash Equivalents at beginning of year</t>
  </si>
  <si>
    <t>Cash &amp; Cash Equivalents at end of year</t>
  </si>
  <si>
    <t>worksheet for STB Group  income statements</t>
  </si>
  <si>
    <t>Condensed Consolidated  Income Statements</t>
  </si>
  <si>
    <t xml:space="preserve">Intercompany </t>
  </si>
  <si>
    <t xml:space="preserve">Transaction </t>
  </si>
  <si>
    <t>Note</t>
  </si>
  <si>
    <t xml:space="preserve">Contra out </t>
  </si>
  <si>
    <t xml:space="preserve"> RM ’000 </t>
  </si>
  <si>
    <t xml:space="preserve">from each </t>
  </si>
  <si>
    <t>STB Group</t>
  </si>
  <si>
    <t>STB</t>
  </si>
  <si>
    <t>SAC</t>
  </si>
  <si>
    <t>account</t>
  </si>
  <si>
    <t xml:space="preserve"> Revenue         </t>
  </si>
  <si>
    <t>Cost of Goods Sold</t>
  </si>
  <si>
    <t>Gross Profit</t>
  </si>
  <si>
    <t>rental</t>
  </si>
  <si>
    <t xml:space="preserve">Other Operating Income </t>
  </si>
  <si>
    <t xml:space="preserve">Other Opera Income </t>
  </si>
  <si>
    <t>Administrative expenses</t>
  </si>
  <si>
    <t>Admin expenses</t>
  </si>
  <si>
    <t>Selling and Marketing expenses</t>
  </si>
  <si>
    <t>Sel and Mrkt expen</t>
  </si>
  <si>
    <t>Other Operating  Expenses</t>
  </si>
  <si>
    <t>Other Operat Expen</t>
  </si>
  <si>
    <t>Profit /(Loss) from Operation</t>
  </si>
  <si>
    <t>Finance Costs,net</t>
  </si>
  <si>
    <t>Investing Results</t>
  </si>
  <si>
    <t>Profit/ (Loss) before tax</t>
  </si>
  <si>
    <t xml:space="preserve">Taxation  </t>
  </si>
  <si>
    <t xml:space="preserve">Taxation Provision (current ) </t>
  </si>
  <si>
    <t xml:space="preserve">Profit/(Loss)  after tax      </t>
  </si>
  <si>
    <t>Minority interests</t>
  </si>
  <si>
    <t xml:space="preserve">Net profit for  the period </t>
  </si>
  <si>
    <t xml:space="preserve">EPS - Basic </t>
  </si>
  <si>
    <t>26 (a)</t>
  </si>
  <si>
    <t xml:space="preserve">        - Diluted </t>
  </si>
  <si>
    <t>Note #  :  Other Operating Income / loss.</t>
  </si>
  <si>
    <t>Net Gain from disposal of fixed assets</t>
  </si>
  <si>
    <t xml:space="preserve">Provision  for doubtful debts     </t>
  </si>
  <si>
    <t>no longer required</t>
  </si>
  <si>
    <t>Gains from scrap and other disposal</t>
  </si>
  <si>
    <t xml:space="preserve">Interest Income                     </t>
  </si>
  <si>
    <t>Provision for slow moving stock</t>
  </si>
  <si>
    <t>Gains/ (loss)  from foreign exchange</t>
  </si>
  <si>
    <t xml:space="preserve">Money Claim for Tooling Expenses   </t>
  </si>
  <si>
    <t xml:space="preserve">(note The loss in forex a/c is now  </t>
  </si>
  <si>
    <t>Insurance Claim</t>
  </si>
  <si>
    <t>transfered to administarive a/c)</t>
  </si>
  <si>
    <t xml:space="preserve">         Total Other Incomes    </t>
  </si>
  <si>
    <t>to administarive expenses account)</t>
  </si>
  <si>
    <t xml:space="preserve">            ( Unaudited )</t>
  </si>
  <si>
    <t xml:space="preserve">WORKSHEET  FOR STB GROUP B/S </t>
  </si>
  <si>
    <t>Audited</t>
  </si>
  <si>
    <t xml:space="preserve">  </t>
  </si>
  <si>
    <t>AS  AT END OF</t>
  </si>
  <si>
    <t xml:space="preserve"> CURRENT QUARTER</t>
  </si>
  <si>
    <t>Group</t>
  </si>
  <si>
    <t>Asset</t>
  </si>
  <si>
    <t xml:space="preserve"> RM ’000    </t>
  </si>
  <si>
    <t>Total</t>
  </si>
  <si>
    <t xml:space="preserve">Property, plant  and equipment </t>
  </si>
  <si>
    <t>-</t>
  </si>
  <si>
    <t>Current Assets :-</t>
  </si>
  <si>
    <t xml:space="preserve">   Inventories   </t>
  </si>
  <si>
    <t xml:space="preserve">   Trade  receivables       </t>
  </si>
  <si>
    <t xml:space="preserve">   Other   receivables       </t>
  </si>
  <si>
    <t xml:space="preserve">   Short  term Deposits</t>
  </si>
  <si>
    <t xml:space="preserve">         with a licensed bank</t>
  </si>
  <si>
    <t xml:space="preserve">   Cash at  Bank</t>
  </si>
  <si>
    <t>Current Liabilities:-</t>
  </si>
  <si>
    <t xml:space="preserve">   Trade Payables</t>
  </si>
  <si>
    <t xml:space="preserve">   Other Payables,     </t>
  </si>
  <si>
    <t xml:space="preserve">  and  accrual expenses  </t>
  </si>
  <si>
    <t xml:space="preserve">   Taxation liability current period           </t>
  </si>
  <si>
    <t xml:space="preserve">   Long term loan -current portion</t>
  </si>
  <si>
    <t>Net Current Assets</t>
  </si>
  <si>
    <t>Shareholders’ Fund:-</t>
  </si>
  <si>
    <t xml:space="preserve"> Share Capital     </t>
  </si>
  <si>
    <t xml:space="preserve"> Reserves -Share Premium   </t>
  </si>
  <si>
    <t xml:space="preserve">                   -Revaluation Reserve</t>
  </si>
  <si>
    <t xml:space="preserve">                   -Retained Profit</t>
  </si>
  <si>
    <t>DEFERRED LIABILITIES</t>
  </si>
  <si>
    <t xml:space="preserve">Long Term Borrowings </t>
  </si>
  <si>
    <t>Deferred Taxation</t>
  </si>
  <si>
    <t>Net tangible assets per share (RM)</t>
  </si>
  <si>
    <t xml:space="preserve">   </t>
  </si>
  <si>
    <t xml:space="preserve">   The Condensed Consolidated Balance Sheet should be read in conjunction with Annual</t>
  </si>
  <si>
    <t xml:space="preserve">SUPERCOMAL TECHNOLOGIES BERHAD </t>
  </si>
  <si>
    <t xml:space="preserve">     Company  No:  197527-H </t>
  </si>
  <si>
    <t xml:space="preserve">     (Incorporated In Malaysia )</t>
  </si>
  <si>
    <t>NOTES TO THE INTERIM FINANCIAL REPORT</t>
  </si>
  <si>
    <r>
      <t xml:space="preserve">1 </t>
    </r>
    <r>
      <rPr>
        <b/>
        <sz val="10"/>
        <rFont val="Arial"/>
        <family val="0"/>
      </rPr>
      <t>Accounting  Policies</t>
    </r>
  </si>
  <si>
    <t xml:space="preserve">  The financial report is unaudited and has been prepared in accordance with MASB 26, Interim</t>
  </si>
  <si>
    <t xml:space="preserve">  financial reporting and paragraph 9.22 of the Kuala Lumpur Stock Exchange ("KLSE") Listing</t>
  </si>
  <si>
    <t xml:space="preserve">  Requirements and should be read in conjunction with the audited financial statements of the </t>
  </si>
  <si>
    <r>
      <t xml:space="preserve">2. </t>
    </r>
    <r>
      <rPr>
        <b/>
        <sz val="10"/>
        <rFont val="Arial"/>
        <family val="0"/>
      </rPr>
      <t>Qualification of Preceding Annual Financial Statements</t>
    </r>
  </si>
  <si>
    <r>
      <t xml:space="preserve">3 </t>
    </r>
    <r>
      <rPr>
        <b/>
        <sz val="10"/>
        <rFont val="Arial"/>
        <family val="0"/>
      </rPr>
      <t xml:space="preserve"> Seasonal or Cyclical Factors.</t>
    </r>
    <r>
      <rPr>
        <sz val="10"/>
        <rFont val="Arial"/>
        <family val="0"/>
      </rPr>
      <t xml:space="preserve"> </t>
    </r>
  </si>
  <si>
    <r>
      <t xml:space="preserve">4  </t>
    </r>
    <r>
      <rPr>
        <b/>
        <sz val="10"/>
        <rFont val="Arial"/>
        <family val="0"/>
      </rPr>
      <t xml:space="preserve">Unusual Material Event </t>
    </r>
  </si>
  <si>
    <r>
      <t>5</t>
    </r>
    <r>
      <rPr>
        <b/>
        <sz val="10"/>
        <rFont val="Arial"/>
        <family val="0"/>
      </rPr>
      <t xml:space="preserve">  Material Change In Estimates</t>
    </r>
  </si>
  <si>
    <t xml:space="preserve">  There were no changes in estimates which materially effect the current interim period.</t>
  </si>
  <si>
    <r>
      <t xml:space="preserve">6  </t>
    </r>
    <r>
      <rPr>
        <b/>
        <sz val="10"/>
        <rFont val="Arial"/>
        <family val="0"/>
      </rPr>
      <t>Changes in Debt and Equity Securities</t>
    </r>
  </si>
  <si>
    <t xml:space="preserve">  There were no issuances, cancellations, repurchases, resale and repayments of  debt and   </t>
  </si>
  <si>
    <t xml:space="preserve">  equity securities during the current financial period.</t>
  </si>
  <si>
    <r>
      <t xml:space="preserve">8 </t>
    </r>
    <r>
      <rPr>
        <b/>
        <sz val="10"/>
        <rFont val="Arial"/>
        <family val="0"/>
      </rPr>
      <t xml:space="preserve">Segmental Reporting.  </t>
    </r>
  </si>
  <si>
    <t xml:space="preserve">     </t>
  </si>
  <si>
    <t xml:space="preserve">  No segmental analysis is prepared as the Group is primarily operates in the manufacturing of </t>
  </si>
  <si>
    <t xml:space="preserve">  wire and cables for electronic devices.</t>
  </si>
  <si>
    <r>
      <t xml:space="preserve">9 </t>
    </r>
    <r>
      <rPr>
        <b/>
        <sz val="10"/>
        <rFont val="Arial"/>
        <family val="0"/>
      </rPr>
      <t xml:space="preserve">Valuations of Property, Plant and Equipment. </t>
    </r>
  </si>
  <si>
    <t xml:space="preserve">  Not applicable as the Group did not revalue its property, plant and equipment during the current  </t>
  </si>
  <si>
    <t xml:space="preserve">  financial period.</t>
  </si>
  <si>
    <r>
      <t xml:space="preserve">10 </t>
    </r>
    <r>
      <rPr>
        <b/>
        <sz val="10"/>
        <rFont val="Arial"/>
        <family val="0"/>
      </rPr>
      <t>Material Subsequent Events .</t>
    </r>
    <r>
      <rPr>
        <sz val="10"/>
        <rFont val="Arial"/>
        <family val="0"/>
      </rPr>
      <t xml:space="preserve">  </t>
    </r>
  </si>
  <si>
    <t xml:space="preserve">  There are no material events subsequent to the end of the period reported  which have not been </t>
  </si>
  <si>
    <t xml:space="preserve">  reflected in the financial report.</t>
  </si>
  <si>
    <r>
      <t>11</t>
    </r>
    <r>
      <rPr>
        <b/>
        <sz val="10"/>
        <rFont val="Arial"/>
        <family val="0"/>
      </rPr>
      <t xml:space="preserve"> Changes in the Composition of The Group.</t>
    </r>
    <r>
      <rPr>
        <sz val="10"/>
        <rFont val="Arial"/>
        <family val="0"/>
      </rPr>
      <t xml:space="preserve">  </t>
    </r>
  </si>
  <si>
    <r>
      <t xml:space="preserve">12  </t>
    </r>
    <r>
      <rPr>
        <b/>
        <sz val="10"/>
        <rFont val="Arial"/>
        <family val="0"/>
      </rPr>
      <t xml:space="preserve">Contingent Liabilities and Contingent  Assets . </t>
    </r>
    <r>
      <rPr>
        <sz val="10"/>
        <rFont val="Arial"/>
        <family val="0"/>
      </rPr>
      <t xml:space="preserve"> </t>
    </r>
  </si>
  <si>
    <r>
      <t xml:space="preserve">13  </t>
    </r>
    <r>
      <rPr>
        <b/>
        <sz val="10"/>
        <rFont val="Arial"/>
        <family val="0"/>
      </rPr>
      <t>Capital Commitments.</t>
    </r>
    <r>
      <rPr>
        <sz val="10"/>
        <rFont val="Arial"/>
        <family val="0"/>
      </rPr>
      <t xml:space="preserve">  </t>
    </r>
  </si>
  <si>
    <t xml:space="preserve">Additional Information Required By KLSE Listing Requirements </t>
  </si>
  <si>
    <r>
      <t xml:space="preserve">14  </t>
    </r>
    <r>
      <rPr>
        <b/>
        <sz val="10"/>
        <rFont val="Arial"/>
        <family val="0"/>
      </rPr>
      <t>Review of  Performance.</t>
    </r>
    <r>
      <rPr>
        <sz val="10"/>
        <rFont val="Arial"/>
        <family val="0"/>
      </rPr>
      <t xml:space="preserve">  </t>
    </r>
  </si>
  <si>
    <r>
      <t xml:space="preserve">15 </t>
    </r>
    <r>
      <rPr>
        <b/>
        <sz val="10"/>
        <rFont val="Arial"/>
        <family val="0"/>
      </rPr>
      <t>Comparison with Preceding Quarter’s Result</t>
    </r>
    <r>
      <rPr>
        <sz val="10"/>
        <rFont val="Arial"/>
        <family val="0"/>
      </rPr>
      <t xml:space="preserve">.  </t>
    </r>
  </si>
  <si>
    <r>
      <t xml:space="preserve">16 </t>
    </r>
    <r>
      <rPr>
        <b/>
        <sz val="10"/>
        <rFont val="Arial"/>
        <family val="0"/>
      </rPr>
      <t>Prospects For The Financial  Year</t>
    </r>
    <r>
      <rPr>
        <sz val="10"/>
        <rFont val="Arial"/>
        <family val="0"/>
      </rPr>
      <t xml:space="preserve">  </t>
    </r>
  </si>
  <si>
    <r>
      <t xml:space="preserve">17 </t>
    </r>
    <r>
      <rPr>
        <b/>
        <sz val="10"/>
        <rFont val="Arial"/>
        <family val="0"/>
      </rPr>
      <t xml:space="preserve">Profit Forecast or  Guarantee. </t>
    </r>
    <r>
      <rPr>
        <sz val="10"/>
        <rFont val="Arial"/>
        <family val="0"/>
      </rPr>
      <t xml:space="preserve"> </t>
    </r>
  </si>
  <si>
    <r>
      <t xml:space="preserve">18 </t>
    </r>
    <r>
      <rPr>
        <b/>
        <sz val="10"/>
        <rFont val="Arial"/>
        <family val="0"/>
      </rPr>
      <t>Taxation</t>
    </r>
  </si>
  <si>
    <t xml:space="preserve">   Taxation comprises the following-:</t>
  </si>
  <si>
    <t xml:space="preserve">                Individual Quarter</t>
  </si>
  <si>
    <t xml:space="preserve">                         Cumulative Quarter</t>
  </si>
  <si>
    <t xml:space="preserve">  Estimate tax expenses</t>
  </si>
  <si>
    <t xml:space="preserve">  Current year  taxation payable</t>
  </si>
  <si>
    <t xml:space="preserve">  (Under)/Overprovision in prior year</t>
  </si>
  <si>
    <t xml:space="preserve">  Transfer to/(from) deferred taxation</t>
  </si>
  <si>
    <t xml:space="preserve">  Supercomal  Advanced Cables Sdn Bhd, is the STB wholly owned subsidiary had been granted </t>
  </si>
  <si>
    <t xml:space="preserve">  2001 for a tax free period of 5 years from the production date, however, the relevent production </t>
  </si>
  <si>
    <t xml:space="preserve">  date has not been fixed by MIDA to date.</t>
  </si>
  <si>
    <r>
      <t>19</t>
    </r>
    <r>
      <rPr>
        <b/>
        <sz val="10"/>
        <rFont val="Arial"/>
        <family val="0"/>
      </rPr>
      <t xml:space="preserve"> Profits/(Losses) on Sale of Unquoted Investments and /(or) Properties </t>
    </r>
  </si>
  <si>
    <t xml:space="preserve">  There were no sales of unquoted investments or properties during the financial period under review.</t>
  </si>
  <si>
    <r>
      <t>20</t>
    </r>
    <r>
      <rPr>
        <b/>
        <sz val="10"/>
        <rFont val="Arial"/>
        <family val="0"/>
      </rPr>
      <t xml:space="preserve"> Quoted Securities and Investments.</t>
    </r>
  </si>
  <si>
    <t xml:space="preserve">  There were no purchases or disposals of quoted securities during the financial period under review</t>
  </si>
  <si>
    <t xml:space="preserve">  and there were no investments in quoted shares as at the end of the reporting period.</t>
  </si>
  <si>
    <r>
      <t xml:space="preserve">21 </t>
    </r>
    <r>
      <rPr>
        <b/>
        <sz val="10"/>
        <rFont val="Arial"/>
        <family val="0"/>
      </rPr>
      <t>Corporate Proposals</t>
    </r>
    <r>
      <rPr>
        <sz val="10"/>
        <rFont val="Arial"/>
        <family val="0"/>
      </rPr>
      <t xml:space="preserve"> </t>
    </r>
  </si>
  <si>
    <t xml:space="preserve">  There were no corporate proposals announced but not completed at the date of this report</t>
  </si>
  <si>
    <r>
      <t xml:space="preserve">22 </t>
    </r>
    <r>
      <rPr>
        <b/>
        <sz val="10"/>
        <rFont val="Arial"/>
        <family val="0"/>
      </rPr>
      <t>Borrowings and Debts Securities</t>
    </r>
    <r>
      <rPr>
        <sz val="10"/>
        <rFont val="Arial"/>
        <family val="0"/>
      </rPr>
      <t xml:space="preserve">  </t>
    </r>
  </si>
  <si>
    <t>`</t>
  </si>
  <si>
    <t xml:space="preserve">       Nature Of Borrowings</t>
  </si>
  <si>
    <t>Short Term Borrowings:-</t>
  </si>
  <si>
    <t xml:space="preserve"> Amount in  RM.                     </t>
  </si>
  <si>
    <t>(Payable Within 12 Months)</t>
  </si>
  <si>
    <t>(a) Portion  of Long Term Loans</t>
  </si>
  <si>
    <t xml:space="preserve"> Secured  Via Debenture Corporate Guarantee</t>
  </si>
  <si>
    <t>Long Term Borrowings:-</t>
  </si>
  <si>
    <t xml:space="preserve"> of Supercomal Technologies Berhad. </t>
  </si>
  <si>
    <t>(Payable After 12 Months)</t>
  </si>
  <si>
    <t xml:space="preserve">(b) Portion of Long Term Loans </t>
  </si>
  <si>
    <t>due</t>
  </si>
  <si>
    <t xml:space="preserve"> of Supercomal Technologies Berhad and the </t>
  </si>
  <si>
    <t xml:space="preserve"> First Legal Charges, On a Landed Property  </t>
  </si>
  <si>
    <t xml:space="preserve"> held under HS(D) 2807/95. PT30511 Mukim</t>
  </si>
  <si>
    <t xml:space="preserve"> of Sungai Petani, Daerah Kuala Muda, Kedah</t>
  </si>
  <si>
    <r>
      <t xml:space="preserve">23 </t>
    </r>
    <r>
      <rPr>
        <b/>
        <sz val="10"/>
        <rFont val="Arial"/>
        <family val="0"/>
      </rPr>
      <t>Off Balance Sheet Financial Instruments.</t>
    </r>
    <r>
      <rPr>
        <sz val="10"/>
        <rFont val="Arial"/>
        <family val="0"/>
      </rPr>
      <t xml:space="preserve">   </t>
    </r>
  </si>
  <si>
    <t xml:space="preserve">  There was no off balance sheet financial instrument utilised as at the date of this announcement.</t>
  </si>
  <si>
    <r>
      <t xml:space="preserve">24 </t>
    </r>
    <r>
      <rPr>
        <b/>
        <sz val="10"/>
        <rFont val="Arial"/>
        <family val="0"/>
      </rPr>
      <t>Changes in Material Litigation.</t>
    </r>
    <r>
      <rPr>
        <sz val="10"/>
        <rFont val="Arial"/>
        <family val="0"/>
      </rPr>
      <t xml:space="preserve">  </t>
    </r>
  </si>
  <si>
    <t xml:space="preserve">  There was no material litigation pending on the date of this announcement.</t>
  </si>
  <si>
    <t xml:space="preserve">The Group and The Company </t>
  </si>
  <si>
    <t xml:space="preserve">     RM</t>
  </si>
  <si>
    <t>000</t>
  </si>
  <si>
    <t xml:space="preserve"> 1,012.5</t>
  </si>
  <si>
    <t xml:space="preserve">   2,025.0</t>
  </si>
  <si>
    <r>
      <t xml:space="preserve">26 </t>
    </r>
    <r>
      <rPr>
        <b/>
        <sz val="10"/>
        <rFont val="Arial"/>
        <family val="0"/>
      </rPr>
      <t>Earnings Per Share (EPS)</t>
    </r>
  </si>
  <si>
    <r>
      <t xml:space="preserve">(a)   </t>
    </r>
    <r>
      <rPr>
        <b/>
        <sz val="10"/>
        <rFont val="Arial"/>
        <family val="0"/>
      </rPr>
      <t>Basic EPS</t>
    </r>
  </si>
  <si>
    <t xml:space="preserve">    Weighted average number of ordinary</t>
  </si>
  <si>
    <t xml:space="preserve">    shares</t>
  </si>
  <si>
    <t xml:space="preserve">    Basic EPS (sen)</t>
  </si>
  <si>
    <r>
      <t xml:space="preserve">(b) </t>
    </r>
    <r>
      <rPr>
        <b/>
        <sz val="10"/>
        <rFont val="Arial"/>
        <family val="0"/>
      </rPr>
      <t xml:space="preserve"> Fully diluted EPS</t>
    </r>
  </si>
  <si>
    <r>
      <t xml:space="preserve">27 </t>
    </r>
    <r>
      <rPr>
        <b/>
        <sz val="10"/>
        <rFont val="Arial"/>
        <family val="0"/>
      </rPr>
      <t xml:space="preserve">Authorisation for Issue </t>
    </r>
  </si>
  <si>
    <t xml:space="preserve">  The interim financial statements were authorised for issue by the Board of Directors in accordance</t>
  </si>
  <si>
    <t>Period 1.1.03-30.9.03</t>
  </si>
  <si>
    <t>#+19862.08</t>
  </si>
  <si>
    <t>Check point:-</t>
  </si>
  <si>
    <t xml:space="preserve">  30.9.2003</t>
  </si>
  <si>
    <t xml:space="preserve">  30.9.2002</t>
  </si>
  <si>
    <t xml:space="preserve">Current 9 months ended 30.9.03 </t>
  </si>
  <si>
    <t xml:space="preserve">Preceding Year's  9 months ended 30.9.02 </t>
  </si>
  <si>
    <t xml:space="preserve">                 Final tax exempt dividend of  </t>
  </si>
  <si>
    <t xml:space="preserve">                 5 sen per ordinary share, 2002</t>
  </si>
  <si>
    <t xml:space="preserve">                 Special tax exempt dividend of</t>
  </si>
  <si>
    <t xml:space="preserve">                 5 sen per ordinary share,  2002</t>
  </si>
  <si>
    <t xml:space="preserve">                 5 sen per ordinary share, 2001</t>
  </si>
  <si>
    <t xml:space="preserve">                 5 sen per ordinary share,  2001</t>
  </si>
  <si>
    <r>
      <t xml:space="preserve">25 </t>
    </r>
    <r>
      <rPr>
        <b/>
        <sz val="10"/>
        <rFont val="Arial"/>
        <family val="0"/>
      </rPr>
      <t>Dividends Paid</t>
    </r>
  </si>
  <si>
    <t>30/9/2003</t>
  </si>
  <si>
    <t xml:space="preserve">  There is no contingent liability and contingent asset for the Group for the current and financial  </t>
  </si>
  <si>
    <t xml:space="preserve">  year-to-date.</t>
  </si>
  <si>
    <t xml:space="preserve">  There was no change in the composition of the Group during the financial period under review. </t>
  </si>
  <si>
    <t xml:space="preserve">  There was no unusual material event during the quarter.</t>
  </si>
  <si>
    <t xml:space="preserve">  The auditors' report of the preceding annual financial statements was not subject to any qualification.</t>
  </si>
  <si>
    <t xml:space="preserve">  The business operations of the Group were not materially affected by any seasonal or cyclical factors</t>
  </si>
  <si>
    <t xml:space="preserve">                         Third  Quarter ended </t>
  </si>
  <si>
    <t xml:space="preserve">  Group revenue has increased from RM13,375,000 achieved at the preceding year's quarter  </t>
  </si>
  <si>
    <t xml:space="preserve">  from customers. </t>
  </si>
  <si>
    <t xml:space="preserve">  Profit before tax for the current period under review was RM1,473,000 in contrast to the RM495,000  </t>
  </si>
  <si>
    <t xml:space="preserve">  The Group posted a profit after tax of RM 1,466,000  as compared to the net loss of RM481,000 </t>
  </si>
  <si>
    <t xml:space="preserve">  In year 2003, the Group has been intensifying its effort to procure more orders from customers,</t>
  </si>
  <si>
    <t>9 month</t>
  </si>
  <si>
    <t>For The Quarter Ended September 30, 2003</t>
  </si>
  <si>
    <t>Balance as of January 1, 2002</t>
  </si>
  <si>
    <t>Balance as of September 30, 2002</t>
  </si>
  <si>
    <t xml:space="preserve"> The Condensed Consolidated Statements of Changes in Equity  should be read in </t>
  </si>
  <si>
    <t xml:space="preserve"> conjunction with  the Annual Financial Report for the year ended December 31, 2002.</t>
  </si>
  <si>
    <t>Balance as of September 30, 2003</t>
  </si>
  <si>
    <t>For The Quarter's Ended September 30, 2003</t>
  </si>
  <si>
    <t xml:space="preserve">The Condensed Consolidated  Cash Flow Statements should be read in conjunction with </t>
  </si>
  <si>
    <t>the Annual Financial Report for the year ended December 31, 2002.</t>
  </si>
  <si>
    <t>26 (b)</t>
  </si>
  <si>
    <t xml:space="preserve">                           Cumulative Quarter ended</t>
  </si>
  <si>
    <t xml:space="preserve">The Condensed Consolidated  Income Statements should be read in conjunction with </t>
  </si>
  <si>
    <t>Quarterly Report On Consolidated Result</t>
  </si>
  <si>
    <t>Condensed Consolidated Balance Sheets</t>
  </si>
  <si>
    <t>As At End Of</t>
  </si>
  <si>
    <t xml:space="preserve"> Current Quarter</t>
  </si>
  <si>
    <t>Financial Year End</t>
  </si>
  <si>
    <t xml:space="preserve">  31/12/2002</t>
  </si>
  <si>
    <t xml:space="preserve">As At Preceding </t>
  </si>
  <si>
    <t xml:space="preserve">    Audited Financial Statement of the Group for the year ended December 31, 2002.</t>
  </si>
  <si>
    <t>QUARTERLY  REPORT FOR THE FINANCIAL PERIOD ENDED SEPTEMBER 30, 2003</t>
  </si>
  <si>
    <t xml:space="preserve">  Group for the year ended December 31, 2002.</t>
  </si>
  <si>
    <t xml:space="preserve">  The accounting policies adopted in the interim financial report are consistent with those adopted</t>
  </si>
  <si>
    <r>
      <t xml:space="preserve">7  </t>
    </r>
    <r>
      <rPr>
        <b/>
        <sz val="10"/>
        <rFont val="Arial"/>
        <family val="0"/>
      </rPr>
      <t>Dividends Paid</t>
    </r>
    <r>
      <rPr>
        <sz val="10"/>
        <rFont val="Arial"/>
        <family val="0"/>
      </rPr>
      <t xml:space="preserve">   </t>
    </r>
  </si>
  <si>
    <t xml:space="preserve">  A final dividend of 5 sen per ordinary share tax exempt amounting to RM1,012,500 and  a special </t>
  </si>
  <si>
    <t xml:space="preserve">  dividend of  5 sen per ordinary share,  tax exempt amounting to RM1,012,500 in respect of the </t>
  </si>
  <si>
    <t xml:space="preserve">  previous financial year ended December 31, 2002 were declared and paid by the Company during   </t>
  </si>
  <si>
    <t xml:space="preserve">  the third quarter ended September 30, 2003.</t>
  </si>
  <si>
    <t xml:space="preserve">  especially the MNCs. Market conditions will remain competitive for the rest of the year and</t>
  </si>
  <si>
    <t xml:space="preserve">  Group for the current financial year should be satisfatory.</t>
  </si>
  <si>
    <t xml:space="preserve">  Pioneer Status  by Malaysia Industrial Development Authority (MIDA) in principles on July 27,</t>
  </si>
  <si>
    <t xml:space="preserve"> Total</t>
  </si>
  <si>
    <t xml:space="preserve">  Group borrowings as at the end of the reporting period are as follows-</t>
  </si>
  <si>
    <t xml:space="preserve">  Dividend declared and paid:</t>
  </si>
  <si>
    <t xml:space="preserve">  Not applicable.</t>
  </si>
  <si>
    <t xml:space="preserve">  with a resolution of the directors on November 20, 2003.</t>
  </si>
  <si>
    <t>Balance as of January 1, 2003</t>
  </si>
  <si>
    <t>For The Period Ended September 30, 2003</t>
  </si>
  <si>
    <t xml:space="preserve">  in the annual financial statements for the year ended December 31, 2002.</t>
  </si>
  <si>
    <t xml:space="preserve">  There were no commitment for purchase of property, plant  and equipment as at September 30, 2003.</t>
  </si>
  <si>
    <t>EPS - Basic (sen)</t>
  </si>
  <si>
    <t xml:space="preserve">  in the preceding quarter. The better result for the current quarter was mainly due to the lower </t>
  </si>
  <si>
    <t xml:space="preserve">     Net profit attributable to shareholder</t>
  </si>
  <si>
    <t>Profit from Operation</t>
  </si>
  <si>
    <t>Net (loss)/ gain from disposal of fixed assets</t>
  </si>
  <si>
    <t xml:space="preserve">  to RM13,453,000 for the current quarter, an increase of 0.58%. Mainly due to additional sales</t>
  </si>
  <si>
    <t xml:space="preserve">  profit before tax for the preceding corresponding period. The increase ( in profit before taxation) was attributable  </t>
  </si>
  <si>
    <t xml:space="preserve">  to the significant decrease in operating expenses incurred during the current quarter.</t>
  </si>
  <si>
    <t xml:space="preserve">  operating expenses and sales as noted above.</t>
  </si>
  <si>
    <t xml:space="preserve">  barring  any unforeseen circumstances, the Board is optimistic that the results of  the </t>
  </si>
  <si>
    <t xml:space="preserve">  There was no profit forecast or guarantee  made during the financial period under review.</t>
  </si>
  <si>
    <t xml:space="preserve"> The estimated tax payable for the group up to the current quarter is approximated to RM </t>
  </si>
  <si>
    <t xml:space="preserve">  31,000 because this is mainly due to the interest income from the licensed bank amounted to about </t>
  </si>
  <si>
    <t xml:space="preserve">  RM 109,000.</t>
  </si>
  <si>
    <t>Profit before tax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</si>
</sst>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_);\(&quot;RM&quot;\ #,##0\)"/>
    <numFmt numFmtId="165" formatCode="&quot;RM&quot;\ #,##0_);[Red]\(&quot;RM&quot;\ #,##0\)"/>
    <numFmt numFmtId="166" formatCode="&quot;RM&quot;\ #,##0.00_);\(&quot;RM&quot;\ #,##0.00\)"/>
    <numFmt numFmtId="167" formatCode="&quot;RM&quot;\ #,##0.00_);[Red]\(&quot;RM&quot;\ #,##0.00\)"/>
    <numFmt numFmtId="168" formatCode="_(&quot;RM&quot;\ * #,##0_);_(&quot;RM&quot;\ * \(#,##0\);_(&quot;RM&quot;\ * &quot;-&quot;_);_(@_)"/>
    <numFmt numFmtId="169" formatCode="_(&quot;RM&quot;\ * #,##0.00_);_(&quot;RM&quot;\ * \(#,##0.00\);_(&quot;RM&quot;\ * &quot;-&quot;??_);_(@_)"/>
    <numFmt numFmtId="170" formatCode="&quot;RM:&quot;\ #,##0_-;&quot;RM:&quot;\ #,##0\-"/>
    <numFmt numFmtId="171" formatCode="&quot;RM:&quot;\ #,##0_-;[Red]&quot;RM:&quot;\ #,##0\-"/>
    <numFmt numFmtId="172" formatCode="&quot;RM:&quot;\ #,##0.00_-;&quot;RM:&quot;\ #,##0.00\-"/>
    <numFmt numFmtId="173" formatCode="&quot;RM:&quot;\ #,##0.00_-;[Red]&quot;RM:&quot;\ #,##0.00\-"/>
    <numFmt numFmtId="174" formatCode="_-&quot;RM:&quot;\ * #,##0_-;_-&quot;RM:&quot;\ * #,##0\-;_-&quot;RM:&quot;\ * &quot;-&quot;_-;_-@_-"/>
    <numFmt numFmtId="175" formatCode="_-* #,##0_-;_-* #,##0\-;_-* &quot;-&quot;_-;_-@_-"/>
    <numFmt numFmtId="176" formatCode="_-&quot;RM:&quot;\ * #,##0.00_-;_-&quot;RM:&quot;\ * #,##0.00\-;_-&quot;RM:&quot;\ * &quot;-&quot;??_-;_-@_-"/>
    <numFmt numFmtId="177" formatCode="_-* #,##0.00_-;_-* #,##0.00\-;_-* &quot;-&quot;??_-;_-@_-"/>
    <numFmt numFmtId="178" formatCode="&quot;RM&quot;\ #,##0;\-&quot;RM&quot;\ #,##0"/>
    <numFmt numFmtId="179" formatCode="&quot;RM&quot;\ #,##0;[Red]\-&quot;RM&quot;\ #,##0"/>
    <numFmt numFmtId="180" formatCode="&quot;RM&quot;\ #,##0.00;\-&quot;RM&quot;\ #,##0.00"/>
    <numFmt numFmtId="181" formatCode="&quot;RM&quot;\ #,##0.00;[Red]\-&quot;RM&quot;\ #,##0.00"/>
    <numFmt numFmtId="182" formatCode="_-&quot;RM&quot;\ * #,##0_-;\-&quot;RM&quot;\ * #,##0_-;_-&quot;RM&quot;\ * &quot;-&quot;_-;_-@_-"/>
    <numFmt numFmtId="183" formatCode="_-* #,##0_-;\-* #,##0_-;_-* &quot;-&quot;_-;_-@_-"/>
    <numFmt numFmtId="184" formatCode="_-&quot;RM&quot;\ * #,##0.00_-;\-&quot;RM&quot;\ * #,##0.00_-;_-&quot;RM&quot;\ * &quot;-&quot;??_-;_-@_-"/>
    <numFmt numFmtId="185" formatCode="_-* #,##0.00_-;\-* #,##0.00_-;_-* &quot;-&quot;??_-;_-@_-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0.0"/>
    <numFmt numFmtId="194" formatCode="#,##0.0"/>
    <numFmt numFmtId="195" formatCode="_(* #,##0.0_);_(* \(#,##0.0\);_(* &quot;-&quot;_);_(@_)"/>
    <numFmt numFmtId="196" formatCode="0.0%"/>
    <numFmt numFmtId="197" formatCode="0.000%"/>
    <numFmt numFmtId="198" formatCode="0.0000%"/>
    <numFmt numFmtId="199" formatCode="0.00000%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0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8"/>
      <name val="Tahoma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187" fontId="0" fillId="0" borderId="0" xfId="15" applyNumberFormat="1" applyAlignment="1">
      <alignment/>
    </xf>
    <xf numFmtId="0" fontId="1" fillId="0" borderId="0" xfId="0" applyFont="1" applyAlignment="1">
      <alignment/>
    </xf>
    <xf numFmtId="187" fontId="0" fillId="0" borderId="0" xfId="0" applyNumberFormat="1" applyAlignment="1">
      <alignment/>
    </xf>
    <xf numFmtId="0" fontId="0" fillId="0" borderId="1" xfId="0" applyBorder="1" applyAlignment="1">
      <alignment/>
    </xf>
    <xf numFmtId="187" fontId="0" fillId="0" borderId="0" xfId="15" applyNumberFormat="1" applyFont="1" applyAlignment="1">
      <alignment/>
    </xf>
    <xf numFmtId="187" fontId="0" fillId="0" borderId="2" xfId="15" applyNumberForma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87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187" fontId="0" fillId="0" borderId="5" xfId="15" applyNumberFormat="1" applyFont="1" applyBorder="1" applyAlignment="1">
      <alignment horizontal="center"/>
    </xf>
    <xf numFmtId="186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187" fontId="0" fillId="0" borderId="0" xfId="15" applyNumberFormat="1" applyFont="1" applyAlignment="1">
      <alignment/>
    </xf>
    <xf numFmtId="187" fontId="0" fillId="0" borderId="2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94" fontId="0" fillId="0" borderId="2" xfId="0" applyNumberFormat="1" applyFont="1" applyBorder="1" applyAlignment="1" quotePrefix="1">
      <alignment/>
    </xf>
    <xf numFmtId="0" fontId="8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187" fontId="0" fillId="0" borderId="0" xfId="15" applyNumberFormat="1" applyFont="1" applyBorder="1" applyAlignment="1">
      <alignment horizontal="left"/>
    </xf>
    <xf numFmtId="187" fontId="0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8" fillId="0" borderId="0" xfId="0" applyFont="1" applyAlignment="1" quotePrefix="1">
      <alignment/>
    </xf>
    <xf numFmtId="0" fontId="0" fillId="0" borderId="0" xfId="0" applyAlignment="1" quotePrefix="1">
      <alignment/>
    </xf>
    <xf numFmtId="187" fontId="0" fillId="0" borderId="0" xfId="15" applyNumberFormat="1" applyFont="1" applyBorder="1" applyAlignment="1">
      <alignment/>
    </xf>
    <xf numFmtId="3" fontId="0" fillId="0" borderId="5" xfId="0" applyNumberFormat="1" applyFont="1" applyBorder="1" applyAlignment="1" quotePrefix="1">
      <alignment/>
    </xf>
    <xf numFmtId="187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86" fontId="0" fillId="0" borderId="7" xfId="15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187" fontId="0" fillId="0" borderId="9" xfId="0" applyNumberFormat="1" applyFont="1" applyBorder="1" applyAlignment="1">
      <alignment/>
    </xf>
    <xf numFmtId="9" fontId="0" fillId="0" borderId="0" xfId="19" applyNumberFormat="1" applyAlignment="1">
      <alignment horizontal="left" indent="1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3" fontId="0" fillId="0" borderId="0" xfId="15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87" fontId="0" fillId="0" borderId="0" xfId="15" applyNumberFormat="1" applyFill="1" applyAlignment="1">
      <alignment/>
    </xf>
    <xf numFmtId="187" fontId="0" fillId="0" borderId="1" xfId="15" applyNumberFormat="1" applyFill="1" applyBorder="1" applyAlignment="1">
      <alignment/>
    </xf>
    <xf numFmtId="187" fontId="0" fillId="0" borderId="0" xfId="0" applyNumberFormat="1" applyFill="1" applyAlignment="1">
      <alignment/>
    </xf>
    <xf numFmtId="187" fontId="0" fillId="0" borderId="0" xfId="15" applyNumberFormat="1" applyFont="1" applyFill="1" applyAlignment="1">
      <alignment/>
    </xf>
    <xf numFmtId="187" fontId="0" fillId="0" borderId="0" xfId="15" applyNumberFormat="1" applyFill="1" applyBorder="1" applyAlignment="1">
      <alignment/>
    </xf>
    <xf numFmtId="43" fontId="0" fillId="0" borderId="0" xfId="15" applyFont="1" applyFill="1" applyAlignment="1">
      <alignment/>
    </xf>
    <xf numFmtId="43" fontId="0" fillId="0" borderId="1" xfId="15" applyFill="1" applyBorder="1" applyAlignment="1">
      <alignment/>
    </xf>
    <xf numFmtId="187" fontId="0" fillId="0" borderId="2" xfId="15" applyNumberFormat="1" applyFill="1" applyBorder="1" applyAlignment="1">
      <alignment/>
    </xf>
    <xf numFmtId="187" fontId="0" fillId="0" borderId="1" xfId="15" applyNumberFormat="1" applyFont="1" applyFill="1" applyBorder="1" applyAlignment="1">
      <alignment/>
    </xf>
    <xf numFmtId="187" fontId="0" fillId="0" borderId="7" xfId="15" applyNumberForma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87" fontId="0" fillId="0" borderId="0" xfId="15" applyNumberFormat="1" applyFont="1" applyFill="1" applyBorder="1" applyAlignment="1">
      <alignment horizontal="left"/>
    </xf>
    <xf numFmtId="187" fontId="0" fillId="0" borderId="1" xfId="0" applyNumberFormat="1" applyFill="1" applyBorder="1" applyAlignment="1">
      <alignment/>
    </xf>
    <xf numFmtId="187" fontId="10" fillId="0" borderId="0" xfId="0" applyNumberFormat="1" applyFont="1" applyFill="1" applyAlignment="1">
      <alignment/>
    </xf>
    <xf numFmtId="0" fontId="0" fillId="0" borderId="0" xfId="0" applyFill="1" applyAlignment="1" quotePrefix="1">
      <alignment/>
    </xf>
    <xf numFmtId="0" fontId="5" fillId="0" borderId="0" xfId="0" applyFont="1" applyFill="1" applyBorder="1" applyAlignment="1">
      <alignment/>
    </xf>
    <xf numFmtId="187" fontId="1" fillId="0" borderId="0" xfId="15" applyNumberFormat="1" applyFont="1" applyFill="1" applyBorder="1" applyAlignment="1">
      <alignment horizontal="left"/>
    </xf>
    <xf numFmtId="187" fontId="1" fillId="0" borderId="1" xfId="15" applyNumberFormat="1" applyFont="1" applyFill="1" applyBorder="1" applyAlignment="1">
      <alignment horizontal="left"/>
    </xf>
    <xf numFmtId="187" fontId="0" fillId="0" borderId="0" xfId="15" applyNumberFormat="1" applyFont="1" applyFill="1" applyBorder="1" applyAlignment="1">
      <alignment horizontal="left"/>
    </xf>
    <xf numFmtId="187" fontId="0" fillId="0" borderId="2" xfId="15" applyNumberFormat="1" applyFont="1" applyFill="1" applyBorder="1" applyAlignment="1">
      <alignment horizontal="left"/>
    </xf>
    <xf numFmtId="187" fontId="0" fillId="0" borderId="2" xfId="0" applyNumberFormat="1" applyFill="1" applyBorder="1" applyAlignment="1">
      <alignment/>
    </xf>
    <xf numFmtId="43" fontId="0" fillId="0" borderId="0" xfId="15" applyFont="1" applyFill="1" applyBorder="1" applyAlignment="1">
      <alignment horizontal="left"/>
    </xf>
    <xf numFmtId="187" fontId="0" fillId="0" borderId="1" xfId="15" applyNumberFormat="1" applyFont="1" applyFill="1" applyBorder="1" applyAlignment="1">
      <alignment horizontal="left"/>
    </xf>
    <xf numFmtId="187" fontId="6" fillId="0" borderId="0" xfId="15" applyNumberFormat="1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7" fontId="0" fillId="0" borderId="0" xfId="15" applyNumberFormat="1" applyFill="1" applyBorder="1" applyAlignment="1">
      <alignment horizontal="center"/>
    </xf>
    <xf numFmtId="187" fontId="0" fillId="0" borderId="0" xfId="15" applyNumberFormat="1" applyFill="1" applyBorder="1" applyAlignment="1">
      <alignment/>
    </xf>
    <xf numFmtId="187" fontId="0" fillId="0" borderId="0" xfId="15" applyNumberFormat="1" applyFill="1" applyAlignment="1">
      <alignment horizontal="center"/>
    </xf>
    <xf numFmtId="187" fontId="0" fillId="0" borderId="10" xfId="15" applyNumberFormat="1" applyFill="1" applyBorder="1" applyAlignment="1">
      <alignment horizontal="center"/>
    </xf>
    <xf numFmtId="187" fontId="0" fillId="0" borderId="10" xfId="15" applyNumberFormat="1" applyFill="1" applyBorder="1" applyAlignment="1">
      <alignment/>
    </xf>
    <xf numFmtId="187" fontId="0" fillId="0" borderId="11" xfId="15" applyNumberFormat="1" applyFill="1" applyBorder="1" applyAlignment="1">
      <alignment horizontal="center"/>
    </xf>
    <xf numFmtId="187" fontId="0" fillId="0" borderId="11" xfId="15" applyNumberFormat="1" applyFill="1" applyBorder="1" applyAlignment="1">
      <alignment/>
    </xf>
    <xf numFmtId="187" fontId="0" fillId="0" borderId="11" xfId="15" applyNumberFormat="1" applyFont="1" applyFill="1" applyBorder="1" applyAlignment="1">
      <alignment horizontal="center"/>
    </xf>
    <xf numFmtId="187" fontId="0" fillId="0" borderId="11" xfId="15" applyNumberFormat="1" applyFont="1" applyFill="1" applyBorder="1" applyAlignment="1">
      <alignment/>
    </xf>
    <xf numFmtId="187" fontId="0" fillId="0" borderId="12" xfId="15" applyNumberFormat="1" applyFont="1" applyFill="1" applyBorder="1" applyAlignment="1">
      <alignment horizontal="center"/>
    </xf>
    <xf numFmtId="187" fontId="0" fillId="0" borderId="12" xfId="15" applyNumberFormat="1" applyFill="1" applyBorder="1" applyAlignment="1">
      <alignment/>
    </xf>
    <xf numFmtId="187" fontId="0" fillId="0" borderId="0" xfId="15" applyNumberFormat="1" applyFont="1" applyFill="1" applyBorder="1" applyAlignment="1">
      <alignment horizontal="center"/>
    </xf>
    <xf numFmtId="187" fontId="0" fillId="0" borderId="10" xfId="15" applyNumberFormat="1" applyFont="1" applyFill="1" applyBorder="1" applyAlignment="1">
      <alignment horizontal="center"/>
    </xf>
    <xf numFmtId="187" fontId="0" fillId="0" borderId="11" xfId="15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/>
    </xf>
    <xf numFmtId="187" fontId="0" fillId="0" borderId="12" xfId="15" applyNumberFormat="1" applyFill="1" applyBorder="1" applyAlignment="1">
      <alignment horizontal="center"/>
    </xf>
    <xf numFmtId="187" fontId="0" fillId="0" borderId="12" xfId="15" applyNumberFormat="1" applyFont="1" applyFill="1" applyBorder="1" applyAlignment="1">
      <alignment/>
    </xf>
    <xf numFmtId="187" fontId="0" fillId="0" borderId="7" xfId="15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7" fontId="0" fillId="0" borderId="0" xfId="15" applyNumberFormat="1" applyFont="1" applyFill="1" applyBorder="1" applyAlignment="1">
      <alignment horizontal="center"/>
    </xf>
    <xf numFmtId="187" fontId="0" fillId="0" borderId="0" xfId="15" applyNumberFormat="1" applyFont="1" applyFill="1" applyBorder="1" applyAlignment="1">
      <alignment/>
    </xf>
    <xf numFmtId="187" fontId="0" fillId="0" borderId="2" xfId="15" applyNumberFormat="1" applyFill="1" applyBorder="1" applyAlignment="1">
      <alignment horizontal="center"/>
    </xf>
    <xf numFmtId="187" fontId="0" fillId="0" borderId="0" xfId="15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187" fontId="0" fillId="0" borderId="7" xfId="15" applyNumberFormat="1" applyFill="1" applyBorder="1" applyAlignment="1">
      <alignment horizontal="center"/>
    </xf>
    <xf numFmtId="43" fontId="0" fillId="0" borderId="7" xfId="15" applyNumberFormat="1" applyFill="1" applyBorder="1" applyAlignment="1">
      <alignment horizontal="center"/>
    </xf>
    <xf numFmtId="43" fontId="0" fillId="0" borderId="0" xfId="15" applyNumberFormat="1" applyFill="1" applyBorder="1" applyAlignment="1">
      <alignment horizontal="center"/>
    </xf>
    <xf numFmtId="43" fontId="0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0" fillId="0" borderId="0" xfId="15" applyAlignment="1">
      <alignment/>
    </xf>
    <xf numFmtId="0" fontId="0" fillId="0" borderId="0" xfId="0" applyFont="1" applyFill="1" applyBorder="1" applyAlignment="1">
      <alignment/>
    </xf>
    <xf numFmtId="14" fontId="5" fillId="0" borderId="0" xfId="0" applyNumberFormat="1" applyFont="1" applyFill="1" applyBorder="1" applyAlignment="1" quotePrefix="1">
      <alignment horizontal="center"/>
    </xf>
    <xf numFmtId="43" fontId="5" fillId="0" borderId="0" xfId="15" applyFont="1" applyFill="1" applyBorder="1" applyAlignment="1">
      <alignment horizontal="center"/>
    </xf>
    <xf numFmtId="43" fontId="0" fillId="0" borderId="2" xfId="15" applyFill="1" applyBorder="1" applyAlignment="1">
      <alignment/>
    </xf>
    <xf numFmtId="43" fontId="0" fillId="0" borderId="0" xfId="15" applyFill="1" applyBorder="1" applyAlignment="1">
      <alignment/>
    </xf>
    <xf numFmtId="43" fontId="0" fillId="0" borderId="7" xfId="15" applyFill="1" applyBorder="1" applyAlignment="1">
      <alignment/>
    </xf>
    <xf numFmtId="0" fontId="1" fillId="0" borderId="0" xfId="0" applyFont="1" applyFill="1" applyAlignment="1" quotePrefix="1">
      <alignment horizontal="center"/>
    </xf>
    <xf numFmtId="0" fontId="0" fillId="0" borderId="5" xfId="0" applyBorder="1" applyAlignment="1">
      <alignment/>
    </xf>
    <xf numFmtId="43" fontId="0" fillId="0" borderId="0" xfId="15" applyFill="1" applyAlignment="1">
      <alignment/>
    </xf>
    <xf numFmtId="187" fontId="0" fillId="0" borderId="0" xfId="15" applyNumberFormat="1" applyFill="1" applyAlignment="1">
      <alignment/>
    </xf>
    <xf numFmtId="187" fontId="0" fillId="0" borderId="1" xfId="15" applyNumberFormat="1" applyFill="1" applyBorder="1" applyAlignment="1">
      <alignment/>
    </xf>
    <xf numFmtId="43" fontId="0" fillId="0" borderId="1" xfId="15" applyFill="1" applyBorder="1" applyAlignment="1">
      <alignment/>
    </xf>
    <xf numFmtId="187" fontId="0" fillId="0" borderId="0" xfId="15" applyNumberFormat="1" applyFont="1" applyFill="1" applyAlignment="1">
      <alignment/>
    </xf>
    <xf numFmtId="187" fontId="0" fillId="0" borderId="0" xfId="15" applyNumberFormat="1" applyFill="1" applyBorder="1" applyAlignment="1">
      <alignment/>
    </xf>
    <xf numFmtId="43" fontId="0" fillId="0" borderId="0" xfId="15" applyFont="1" applyFill="1" applyAlignment="1">
      <alignment/>
    </xf>
    <xf numFmtId="187" fontId="0" fillId="0" borderId="2" xfId="15" applyNumberFormat="1" applyFill="1" applyBorder="1" applyAlignment="1">
      <alignment/>
    </xf>
    <xf numFmtId="43" fontId="0" fillId="0" borderId="2" xfId="15" applyFill="1" applyBorder="1" applyAlignment="1">
      <alignment/>
    </xf>
    <xf numFmtId="187" fontId="0" fillId="0" borderId="1" xfId="15" applyNumberFormat="1" applyFont="1" applyFill="1" applyBorder="1" applyAlignment="1">
      <alignment/>
    </xf>
    <xf numFmtId="43" fontId="0" fillId="0" borderId="0" xfId="15" applyFill="1" applyBorder="1" applyAlignment="1">
      <alignment/>
    </xf>
    <xf numFmtId="187" fontId="0" fillId="0" borderId="7" xfId="15" applyNumberFormat="1" applyFill="1" applyBorder="1" applyAlignment="1">
      <alignment/>
    </xf>
    <xf numFmtId="43" fontId="0" fillId="0" borderId="7" xfId="15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Quarterly%20report\Qr2003\Second%20quarter03\STB-2nd%20quarter%20(KLS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2003Q3back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Sheet6"/>
      <sheetName val="Sheet7"/>
      <sheetName val="Sheet9"/>
      <sheetName val="Sheet10"/>
      <sheetName val="Sheet11"/>
      <sheetName val="Sheet13"/>
      <sheetName val="Sheet14"/>
      <sheetName val="Sheet15"/>
      <sheetName val="Sheet16"/>
    </sheetNames>
    <sheetDataSet>
      <sheetData sheetId="2">
        <row r="10">
          <cell r="E10">
            <v>22011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7"/>
      <sheetName val="Sheet18"/>
      <sheetName val="Sheet15"/>
      <sheetName val="S1"/>
      <sheetName val="Sheet7"/>
      <sheetName val="Sheet9"/>
      <sheetName val="Sheet10"/>
      <sheetName val="Sheet11"/>
      <sheetName val="Sheet12"/>
      <sheetName val="Sheet13"/>
      <sheetName val="Sheet14"/>
      <sheetName val="scenario1"/>
      <sheetName val="scenario2"/>
      <sheetName val="SACQR3(1)"/>
      <sheetName val="SACQR3(2)"/>
      <sheetName val="STBOR3(1)"/>
      <sheetName val="STBOR3(2)"/>
    </sheetNames>
    <sheetDataSet>
      <sheetData sheetId="11">
        <row r="53">
          <cell r="G53">
            <v>14801255.089999998</v>
          </cell>
          <cell r="H53">
            <v>9682630.200000001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A1" sqref="A1"/>
    </sheetView>
  </sheetViews>
  <sheetFormatPr defaultColWidth="9.140625" defaultRowHeight="12.75"/>
  <cols>
    <col min="2" max="2" width="29.57421875" style="0" customWidth="1"/>
    <col min="3" max="3" width="10.421875" style="0" customWidth="1"/>
    <col min="4" max="4" width="11.140625" style="0" customWidth="1"/>
    <col min="5" max="5" width="11.421875" style="0" customWidth="1"/>
    <col min="6" max="7" width="10.421875" style="0" customWidth="1"/>
  </cols>
  <sheetData>
    <row r="1" ht="18">
      <c r="A1" s="1" t="s">
        <v>0</v>
      </c>
    </row>
    <row r="2" ht="12.75">
      <c r="B2" t="s">
        <v>1</v>
      </c>
    </row>
    <row r="3" ht="12.75">
      <c r="A3" s="9" t="s">
        <v>2</v>
      </c>
    </row>
    <row r="4" spans="1:7" ht="12.75">
      <c r="A4" s="9" t="s">
        <v>264</v>
      </c>
      <c r="G4" s="3" t="s">
        <v>3</v>
      </c>
    </row>
    <row r="5" spans="4:5" ht="12.75">
      <c r="D5" t="s">
        <v>4</v>
      </c>
      <c r="E5" t="s">
        <v>5</v>
      </c>
    </row>
    <row r="6" spans="1:7" ht="12.75">
      <c r="A6" t="s">
        <v>6</v>
      </c>
      <c r="C6" s="27" t="s">
        <v>7</v>
      </c>
      <c r="D6" t="s">
        <v>8</v>
      </c>
      <c r="E6" t="s">
        <v>9</v>
      </c>
      <c r="F6" t="s">
        <v>10</v>
      </c>
      <c r="G6" t="s">
        <v>11</v>
      </c>
    </row>
    <row r="7" spans="1:7" ht="12.75">
      <c r="A7" t="s">
        <v>6</v>
      </c>
      <c r="C7" s="5" t="s">
        <v>12</v>
      </c>
      <c r="D7" s="5" t="s">
        <v>13</v>
      </c>
      <c r="E7" s="5" t="s">
        <v>14</v>
      </c>
      <c r="F7" s="5" t="s">
        <v>15</v>
      </c>
      <c r="G7" s="5"/>
    </row>
    <row r="8" spans="1:7" ht="12.75">
      <c r="A8" t="s">
        <v>6</v>
      </c>
      <c r="C8" s="36" t="s">
        <v>16</v>
      </c>
      <c r="D8" s="36" t="s">
        <v>17</v>
      </c>
      <c r="E8" s="36" t="s">
        <v>18</v>
      </c>
      <c r="F8" s="36" t="s">
        <v>19</v>
      </c>
      <c r="G8" s="36" t="s">
        <v>17</v>
      </c>
    </row>
    <row r="9" spans="1:7" ht="12.75">
      <c r="A9" s="8" t="s">
        <v>241</v>
      </c>
      <c r="C9" s="28" t="s">
        <v>6</v>
      </c>
      <c r="D9" s="28" t="s">
        <v>6</v>
      </c>
      <c r="E9" s="28" t="s">
        <v>6</v>
      </c>
      <c r="F9" s="28" t="s">
        <v>6</v>
      </c>
      <c r="G9" s="28" t="s">
        <v>6</v>
      </c>
    </row>
    <row r="11" spans="1:7" ht="12.75">
      <c r="A11" t="s">
        <v>300</v>
      </c>
      <c r="C11" s="2">
        <v>20250</v>
      </c>
      <c r="D11" s="2">
        <v>5937</v>
      </c>
      <c r="E11" s="2">
        <v>2629</v>
      </c>
      <c r="F11" s="2">
        <v>20285</v>
      </c>
      <c r="G11" s="2">
        <f>SUM(C11:F11)</f>
        <v>49101</v>
      </c>
    </row>
    <row r="12" ht="12.75">
      <c r="A12" t="s">
        <v>6</v>
      </c>
    </row>
    <row r="13" spans="1:7" ht="12.75">
      <c r="A13" t="s">
        <v>22</v>
      </c>
      <c r="F13" s="2">
        <v>559</v>
      </c>
      <c r="G13" s="2">
        <v>559</v>
      </c>
    </row>
    <row r="14" spans="1:7" ht="12.75">
      <c r="A14" t="s">
        <v>20</v>
      </c>
      <c r="F14" s="6" t="s">
        <v>6</v>
      </c>
      <c r="G14" s="6" t="s">
        <v>6</v>
      </c>
    </row>
    <row r="15" spans="6:7" ht="12.75">
      <c r="F15" s="6"/>
      <c r="G15" s="6"/>
    </row>
    <row r="16" spans="1:7" ht="12.75">
      <c r="A16" t="s">
        <v>21</v>
      </c>
      <c r="F16" s="124">
        <v>-2025</v>
      </c>
      <c r="G16" s="124">
        <v>-2025</v>
      </c>
    </row>
    <row r="18" ht="12.75">
      <c r="G18" t="s">
        <v>6</v>
      </c>
    </row>
    <row r="19" spans="1:7" ht="12.75">
      <c r="A19" t="s">
        <v>269</v>
      </c>
      <c r="C19" s="7">
        <v>20250</v>
      </c>
      <c r="D19" s="7">
        <v>5937</v>
      </c>
      <c r="E19" s="7">
        <v>2629</v>
      </c>
      <c r="F19" s="10">
        <f>+F11+F13+F16</f>
        <v>18819</v>
      </c>
      <c r="G19" s="10">
        <f>SUM(C19:F19)</f>
        <v>47635</v>
      </c>
    </row>
    <row r="23" ht="12.75">
      <c r="A23" s="8" t="s">
        <v>242</v>
      </c>
    </row>
    <row r="24" ht="12.75">
      <c r="A24" t="s">
        <v>6</v>
      </c>
    </row>
    <row r="25" spans="1:7" ht="12.75">
      <c r="A25" t="s">
        <v>265</v>
      </c>
      <c r="C25" s="2">
        <v>20250</v>
      </c>
      <c r="D25" s="2">
        <v>5937</v>
      </c>
      <c r="E25" s="2">
        <v>2629</v>
      </c>
      <c r="F25" s="2">
        <v>19692</v>
      </c>
      <c r="G25" s="2">
        <v>48508</v>
      </c>
    </row>
    <row r="26" ht="12.75">
      <c r="A26" t="s">
        <v>6</v>
      </c>
    </row>
    <row r="27" spans="1:7" ht="12.75">
      <c r="A27" t="s">
        <v>22</v>
      </c>
      <c r="F27">
        <v>2167</v>
      </c>
      <c r="G27">
        <v>2167</v>
      </c>
    </row>
    <row r="28" spans="1:7" ht="12.75">
      <c r="A28" t="s">
        <v>20</v>
      </c>
      <c r="F28" s="6" t="s">
        <v>6</v>
      </c>
      <c r="G28" s="6" t="s">
        <v>6</v>
      </c>
    </row>
    <row r="29" spans="6:7" ht="12.75">
      <c r="F29" s="6"/>
      <c r="G29" s="6"/>
    </row>
    <row r="30" spans="1:7" ht="12.75">
      <c r="A30" t="s">
        <v>21</v>
      </c>
      <c r="F30" s="124">
        <v>-2025</v>
      </c>
      <c r="G30" s="124">
        <v>-2025</v>
      </c>
    </row>
    <row r="33" spans="1:7" ht="12.75">
      <c r="A33" t="s">
        <v>266</v>
      </c>
      <c r="C33" s="7">
        <v>20250</v>
      </c>
      <c r="D33" s="7">
        <v>5937</v>
      </c>
      <c r="E33" s="7">
        <v>2629</v>
      </c>
      <c r="F33" s="10">
        <f>+F25+F27+F30</f>
        <v>19834</v>
      </c>
      <c r="G33" s="10">
        <f>SUM(C33:F33)</f>
        <v>48650</v>
      </c>
    </row>
    <row r="34" ht="12.75">
      <c r="A34" t="s">
        <v>6</v>
      </c>
    </row>
    <row r="37" ht="12.75">
      <c r="G37" s="6"/>
    </row>
    <row r="38" spans="1:7" ht="12.75">
      <c r="A38" s="9" t="s">
        <v>267</v>
      </c>
      <c r="G38" s="6"/>
    </row>
    <row r="39" spans="1:7" ht="12.75">
      <c r="A39" s="3" t="s">
        <v>268</v>
      </c>
      <c r="G39" s="6"/>
    </row>
    <row r="40" ht="12.75">
      <c r="G40" s="6"/>
    </row>
    <row r="41" ht="12.75">
      <c r="G41" s="6"/>
    </row>
    <row r="42" ht="12.75">
      <c r="G42" s="6"/>
    </row>
    <row r="43" ht="12.75">
      <c r="G43" s="6"/>
    </row>
    <row r="44" ht="12.75">
      <c r="G44" s="6"/>
    </row>
    <row r="45" ht="12.75">
      <c r="G45" s="6"/>
    </row>
    <row r="46" ht="12.75">
      <c r="G46" s="6"/>
    </row>
    <row r="47" ht="12.75">
      <c r="G47" s="6"/>
    </row>
    <row r="48" ht="12.75">
      <c r="G48" s="6"/>
    </row>
    <row r="49" ht="12.75">
      <c r="G49" s="6"/>
    </row>
    <row r="50" ht="12.75">
      <c r="G50" s="6"/>
    </row>
    <row r="51" ht="12.75">
      <c r="G51" s="6"/>
    </row>
    <row r="52" ht="12.75">
      <c r="G52" s="6"/>
    </row>
    <row r="53" ht="12.75">
      <c r="G53" s="6"/>
    </row>
    <row r="54" ht="12.75">
      <c r="G54" s="6"/>
    </row>
    <row r="55" ht="12.75">
      <c r="G55" s="6"/>
    </row>
    <row r="56" ht="12.75">
      <c r="G56" s="6"/>
    </row>
    <row r="57" ht="12.75">
      <c r="G57" s="6"/>
    </row>
    <row r="58" ht="12.75">
      <c r="G58" s="6"/>
    </row>
    <row r="59" ht="12.75">
      <c r="G59" s="6"/>
    </row>
    <row r="60" ht="12.75">
      <c r="G60" s="6"/>
    </row>
    <row r="61" ht="12.75">
      <c r="G61" s="6"/>
    </row>
    <row r="62" ht="12.75">
      <c r="G62" s="6"/>
    </row>
    <row r="63" ht="12.75">
      <c r="G63" s="6"/>
    </row>
    <row r="64" ht="12.75">
      <c r="G64" s="6"/>
    </row>
    <row r="65" ht="12.75">
      <c r="G65" s="6"/>
    </row>
    <row r="66" ht="12.75">
      <c r="G66" s="6"/>
    </row>
    <row r="67" ht="12.75">
      <c r="G67" s="6"/>
    </row>
    <row r="68" ht="12.75">
      <c r="G68" s="6"/>
    </row>
    <row r="69" ht="12.75">
      <c r="G69" s="6"/>
    </row>
    <row r="70" ht="12.75">
      <c r="G70" s="6"/>
    </row>
    <row r="71" ht="12.75">
      <c r="G71" s="6"/>
    </row>
    <row r="72" ht="12.75">
      <c r="G72" s="6"/>
    </row>
    <row r="73" ht="12.75">
      <c r="G73" s="6"/>
    </row>
    <row r="74" ht="12.75">
      <c r="G74" s="6"/>
    </row>
    <row r="75" ht="12.75">
      <c r="G75" s="6"/>
    </row>
    <row r="76" ht="12.75">
      <c r="G76" s="6"/>
    </row>
    <row r="77" ht="12.75">
      <c r="G77" s="6"/>
    </row>
    <row r="78" ht="12.75">
      <c r="G78" s="6"/>
    </row>
    <row r="79" ht="12.75">
      <c r="G79" s="6"/>
    </row>
    <row r="80" ht="12.75">
      <c r="G80" s="6"/>
    </row>
    <row r="81" ht="12.75">
      <c r="G81" s="6"/>
    </row>
    <row r="82" ht="12.75">
      <c r="G82" s="6"/>
    </row>
    <row r="83" ht="12.75">
      <c r="G83" s="6"/>
    </row>
    <row r="84" ht="12.75">
      <c r="G84" s="6"/>
    </row>
    <row r="85" ht="12.75">
      <c r="G85" s="6"/>
    </row>
  </sheetData>
  <printOptions/>
  <pageMargins left="0.75" right="0.75" top="1" bottom="1" header="0.5" footer="0.5"/>
  <pageSetup horizontalDpi="180" verticalDpi="180" orientation="portrait" scale="88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J1">
      <selection activeCell="J1" sqref="J1"/>
    </sheetView>
  </sheetViews>
  <sheetFormatPr defaultColWidth="9.140625" defaultRowHeight="12.75"/>
  <cols>
    <col min="1" max="5" width="9.140625" style="51" customWidth="1"/>
    <col min="6" max="6" width="11.140625" style="51" hidden="1" customWidth="1"/>
    <col min="7" max="7" width="11.28125" style="51" customWidth="1"/>
    <col min="8" max="8" width="2.57421875" style="51" customWidth="1"/>
    <col min="9" max="9" width="13.421875" style="133" customWidth="1"/>
    <col min="10" max="10" width="9.140625" style="51" customWidth="1"/>
    <col min="11" max="11" width="35.28125" style="51" customWidth="1"/>
    <col min="12" max="12" width="13.7109375" style="133" customWidth="1"/>
    <col min="13" max="13" width="13.57421875" style="51" customWidth="1"/>
    <col min="14" max="14" width="11.8515625" style="133" customWidth="1"/>
    <col min="15" max="16" width="9.140625" style="51" customWidth="1"/>
    <col min="17" max="17" width="11.28125" style="0" customWidth="1"/>
  </cols>
  <sheetData>
    <row r="1" ht="18">
      <c r="A1" s="50" t="s">
        <v>0</v>
      </c>
    </row>
    <row r="2" ht="12.75">
      <c r="K2" s="51" t="s">
        <v>23</v>
      </c>
    </row>
    <row r="3" spans="1:11" ht="12.75">
      <c r="A3" s="53" t="s">
        <v>24</v>
      </c>
      <c r="I3" s="54" t="s">
        <v>3</v>
      </c>
      <c r="K3" s="53" t="s">
        <v>24</v>
      </c>
    </row>
    <row r="4" spans="1:13" ht="12.75">
      <c r="A4" s="53" t="s">
        <v>270</v>
      </c>
      <c r="H4" s="54"/>
      <c r="I4" s="55">
        <v>2003</v>
      </c>
      <c r="M4" s="55">
        <v>2003</v>
      </c>
    </row>
    <row r="5" spans="8:13" ht="12.75">
      <c r="H5" s="54"/>
      <c r="I5" s="56" t="s">
        <v>263</v>
      </c>
      <c r="M5" s="56" t="s">
        <v>263</v>
      </c>
    </row>
    <row r="6" spans="8:13" ht="12.75">
      <c r="H6" s="54"/>
      <c r="I6" s="56" t="s">
        <v>25</v>
      </c>
      <c r="M6" s="56" t="s">
        <v>25</v>
      </c>
    </row>
    <row r="7" spans="8:13" ht="12.75">
      <c r="H7" s="54"/>
      <c r="I7" s="131" t="s">
        <v>250</v>
      </c>
      <c r="M7" s="57">
        <v>37894</v>
      </c>
    </row>
    <row r="8" spans="9:14" ht="12.75">
      <c r="I8" s="58" t="s">
        <v>27</v>
      </c>
      <c r="N8" s="127" t="s">
        <v>27</v>
      </c>
    </row>
    <row r="9" ht="12.75">
      <c r="I9" s="51"/>
    </row>
    <row r="10" spans="1:14" ht="12.75">
      <c r="A10" s="51" t="s">
        <v>28</v>
      </c>
      <c r="I10" s="134">
        <v>590</v>
      </c>
      <c r="K10" s="51" t="s">
        <v>28</v>
      </c>
      <c r="M10" s="134">
        <f>SUM('Income statement'!J22)</f>
        <v>589807.569999998</v>
      </c>
      <c r="N10" s="133">
        <v>590</v>
      </c>
    </row>
    <row r="11" spans="1:14" ht="12.75">
      <c r="A11" s="54" t="s">
        <v>29</v>
      </c>
      <c r="I11" s="134"/>
      <c r="K11" s="51" t="s">
        <v>30</v>
      </c>
      <c r="L11" s="133">
        <f>2274531+1905</f>
        <v>2276436</v>
      </c>
      <c r="N11" s="133">
        <v>2274</v>
      </c>
    </row>
    <row r="12" spans="1:12" ht="12.75">
      <c r="A12" s="51" t="s">
        <v>31</v>
      </c>
      <c r="I12" s="134">
        <v>2274</v>
      </c>
      <c r="K12" s="51" t="s">
        <v>32</v>
      </c>
      <c r="L12" s="133">
        <f>-SUM('Income statement'!J19)</f>
        <v>131360.64</v>
      </c>
    </row>
    <row r="13" spans="1:14" ht="12.75">
      <c r="A13" s="51" t="s">
        <v>33</v>
      </c>
      <c r="I13" s="134">
        <v>-76</v>
      </c>
      <c r="K13" s="51" t="s">
        <v>34</v>
      </c>
      <c r="L13" s="133">
        <f>-SUM('Income statement'!J39)</f>
        <v>-98888.66</v>
      </c>
      <c r="N13" s="133">
        <f>SUM(L12:L14)/1000</f>
        <v>-76.12698999999999</v>
      </c>
    </row>
    <row r="14" spans="9:14" ht="12.75">
      <c r="I14" s="135"/>
      <c r="K14" s="51" t="s">
        <v>35</v>
      </c>
      <c r="L14" s="133">
        <f>-SUM('Income statement'!J38)</f>
        <v>-108598.97</v>
      </c>
      <c r="N14" s="136"/>
    </row>
    <row r="15" spans="1:14" ht="12.75">
      <c r="A15" s="51" t="s">
        <v>36</v>
      </c>
      <c r="I15" s="61">
        <f>+SUM(I10:I14)</f>
        <v>2788</v>
      </c>
      <c r="L15" s="133" t="s">
        <v>6</v>
      </c>
      <c r="M15" s="61">
        <f>SUM(L11:L15)+M10</f>
        <v>2790116.5799999977</v>
      </c>
      <c r="N15" s="133">
        <f>+SUM(N10:N14)</f>
        <v>2787.87301</v>
      </c>
    </row>
    <row r="16" spans="9:13" ht="12.75">
      <c r="I16" s="134"/>
      <c r="K16" s="51" t="s">
        <v>37</v>
      </c>
      <c r="M16" s="61">
        <v>0</v>
      </c>
    </row>
    <row r="17" spans="1:11" ht="12.75">
      <c r="A17" s="54" t="s">
        <v>38</v>
      </c>
      <c r="I17" s="137" t="s">
        <v>6</v>
      </c>
      <c r="K17" s="54" t="s">
        <v>38</v>
      </c>
    </row>
    <row r="18" spans="1:14" ht="12.75">
      <c r="A18" s="51" t="s">
        <v>39</v>
      </c>
      <c r="I18" s="134">
        <v>19</v>
      </c>
      <c r="K18" s="51" t="s">
        <v>40</v>
      </c>
      <c r="L18" s="133">
        <f>-SUM('Balance sheet'!F12)</f>
        <v>18692.490000000224</v>
      </c>
      <c r="N18" s="133">
        <v>19</v>
      </c>
    </row>
    <row r="19" spans="1:14" ht="12.75">
      <c r="A19" s="51" t="s">
        <v>41</v>
      </c>
      <c r="I19" s="134">
        <v>-4717</v>
      </c>
      <c r="K19" s="51" t="s">
        <v>41</v>
      </c>
      <c r="L19" s="133">
        <f>-'Balance sheet'!F15</f>
        <v>-4719007.83</v>
      </c>
      <c r="N19" s="133">
        <v>-4717</v>
      </c>
    </row>
    <row r="20" spans="1:14" ht="12.75">
      <c r="A20" s="51" t="s">
        <v>42</v>
      </c>
      <c r="I20" s="135">
        <v>1130</v>
      </c>
      <c r="K20" s="51" t="s">
        <v>42</v>
      </c>
      <c r="L20" s="133">
        <f>'Balance sheet'!F23</f>
        <v>1129746.6500000022</v>
      </c>
      <c r="M20" s="135">
        <f>SUM(L18:L20)</f>
        <v>-3570568.6899999976</v>
      </c>
      <c r="N20" s="136">
        <v>1130</v>
      </c>
    </row>
    <row r="21" ht="12.75">
      <c r="I21" s="138"/>
    </row>
    <row r="22" spans="1:14" ht="12.75">
      <c r="A22" s="51" t="s">
        <v>43</v>
      </c>
      <c r="E22" s="61" t="s">
        <v>6</v>
      </c>
      <c r="I22" s="133">
        <f>+SUM(I15:I20)</f>
        <v>-780</v>
      </c>
      <c r="K22" s="51" t="s">
        <v>43</v>
      </c>
      <c r="L22" s="139" t="s">
        <v>6</v>
      </c>
      <c r="M22" s="134">
        <f>+SUM(M15:M20)</f>
        <v>-780452.1099999999</v>
      </c>
      <c r="N22" s="133">
        <f>+SUM(N15:N20)</f>
        <v>-780.1269900000002</v>
      </c>
    </row>
    <row r="23" spans="5:9" ht="12.75">
      <c r="E23" s="61" t="s">
        <v>6</v>
      </c>
      <c r="I23" s="137" t="s">
        <v>6</v>
      </c>
    </row>
    <row r="24" spans="1:14" ht="12.75">
      <c r="A24" s="51" t="s">
        <v>44</v>
      </c>
      <c r="I24" s="135">
        <v>-87</v>
      </c>
      <c r="K24" s="51" t="s">
        <v>44</v>
      </c>
      <c r="L24" s="133" t="s">
        <v>6</v>
      </c>
      <c r="M24" s="136">
        <v>-87332</v>
      </c>
      <c r="N24" s="136">
        <v>-87</v>
      </c>
    </row>
    <row r="25" spans="1:11" ht="12.75">
      <c r="A25" s="54" t="s">
        <v>45</v>
      </c>
      <c r="I25" s="138"/>
      <c r="K25" s="54" t="s">
        <v>45</v>
      </c>
    </row>
    <row r="26" spans="1:14" ht="12.75">
      <c r="A26" s="51" t="s">
        <v>46</v>
      </c>
      <c r="I26" s="134">
        <f>+I22+I24</f>
        <v>-867</v>
      </c>
      <c r="K26" s="51" t="s">
        <v>46</v>
      </c>
      <c r="L26" s="133" t="s">
        <v>6</v>
      </c>
      <c r="M26" s="138">
        <f>+M22+M24</f>
        <v>-867784.1099999999</v>
      </c>
      <c r="N26" s="133">
        <f>+N22+N24</f>
        <v>-867.1269900000002</v>
      </c>
    </row>
    <row r="27" spans="9:12" ht="12.75">
      <c r="I27" s="134"/>
      <c r="L27" s="133" t="s">
        <v>6</v>
      </c>
    </row>
    <row r="28" spans="1:11" ht="12.75">
      <c r="A28" s="54" t="s">
        <v>47</v>
      </c>
      <c r="I28" s="134"/>
      <c r="K28" s="54" t="s">
        <v>47</v>
      </c>
    </row>
    <row r="29" spans="1:14" ht="12.75">
      <c r="A29" s="51" t="s">
        <v>48</v>
      </c>
      <c r="I29" s="134">
        <v>109</v>
      </c>
      <c r="K29" s="51" t="s">
        <v>48</v>
      </c>
      <c r="L29" s="133" t="s">
        <v>49</v>
      </c>
      <c r="M29" s="51">
        <v>108599</v>
      </c>
      <c r="N29" s="133">
        <v>109</v>
      </c>
    </row>
    <row r="30" spans="1:14" ht="12.75">
      <c r="A30" s="51" t="s">
        <v>50</v>
      </c>
      <c r="I30" s="134">
        <v>-1828</v>
      </c>
      <c r="K30" s="51" t="s">
        <v>50</v>
      </c>
      <c r="L30" s="133" t="s">
        <v>51</v>
      </c>
      <c r="M30" s="133">
        <v>-1827950</v>
      </c>
      <c r="N30" s="133">
        <v>-1828</v>
      </c>
    </row>
    <row r="31" spans="1:14" ht="12.75">
      <c r="A31" s="51" t="s">
        <v>52</v>
      </c>
      <c r="I31" s="134">
        <v>92</v>
      </c>
      <c r="K31" s="51" t="s">
        <v>52</v>
      </c>
      <c r="L31" s="133" t="s">
        <v>53</v>
      </c>
      <c r="M31" s="51">
        <v>92000</v>
      </c>
      <c r="N31" s="133">
        <v>92</v>
      </c>
    </row>
    <row r="32" spans="1:14" ht="12.75">
      <c r="A32" s="51" t="s">
        <v>54</v>
      </c>
      <c r="I32" s="140">
        <f>SUM(I29:I31)</f>
        <v>-1627</v>
      </c>
      <c r="K32" s="51" t="s">
        <v>54</v>
      </c>
      <c r="M32" s="140">
        <f>SUM(M29:M31)</f>
        <v>-1627351</v>
      </c>
      <c r="N32" s="141">
        <f>SUM(N29:N31)</f>
        <v>-1627</v>
      </c>
    </row>
    <row r="33" ht="12.75">
      <c r="I33" s="138"/>
    </row>
    <row r="34" spans="1:11" ht="12.75">
      <c r="A34" s="54" t="s">
        <v>55</v>
      </c>
      <c r="I34" s="134"/>
      <c r="K34" s="54" t="s">
        <v>55</v>
      </c>
    </row>
    <row r="35" spans="2:14" ht="12.75">
      <c r="B35" s="51" t="s">
        <v>56</v>
      </c>
      <c r="I35" s="134">
        <v>-2025</v>
      </c>
      <c r="K35" s="51" t="s">
        <v>56</v>
      </c>
      <c r="M35" s="134">
        <v>-2025000</v>
      </c>
      <c r="N35" s="133">
        <v>-2025</v>
      </c>
    </row>
    <row r="36" spans="2:14" ht="12.75">
      <c r="B36" s="51" t="s">
        <v>57</v>
      </c>
      <c r="I36" s="134">
        <v>-734</v>
      </c>
      <c r="K36" s="51" t="s">
        <v>57</v>
      </c>
      <c r="L36" s="133" t="s">
        <v>58</v>
      </c>
      <c r="M36" s="134">
        <v>-734400</v>
      </c>
      <c r="N36" s="133">
        <v>-734</v>
      </c>
    </row>
    <row r="37" spans="9:14" ht="12.75">
      <c r="I37" s="134"/>
      <c r="M37" s="134">
        <v>0</v>
      </c>
      <c r="N37" s="133">
        <v>0</v>
      </c>
    </row>
    <row r="38" spans="1:14" ht="12.75">
      <c r="A38" s="51" t="s">
        <v>59</v>
      </c>
      <c r="I38" s="140">
        <f>SUM(I35:I36)</f>
        <v>-2759</v>
      </c>
      <c r="K38" s="51" t="s">
        <v>59</v>
      </c>
      <c r="M38" s="140">
        <f>SUM(M35:M37)</f>
        <v>-2759400</v>
      </c>
      <c r="N38" s="141">
        <f>SUM(N35:N37)</f>
        <v>-2759</v>
      </c>
    </row>
    <row r="39" spans="9:14" ht="12.75">
      <c r="I39" s="142" t="s">
        <v>6</v>
      </c>
      <c r="M39" s="142">
        <f>+M26+M32+M38</f>
        <v>-5254535.109999999</v>
      </c>
      <c r="N39" s="142">
        <f>+N26+N32+N38</f>
        <v>-5253.126990000001</v>
      </c>
    </row>
    <row r="40" spans="1:17" ht="12.75">
      <c r="A40" s="51" t="s">
        <v>60</v>
      </c>
      <c r="E40" s="61" t="s">
        <v>6</v>
      </c>
      <c r="I40" s="143">
        <f>+(I44-I42)</f>
        <v>-5255</v>
      </c>
      <c r="K40" s="51" t="s">
        <v>60</v>
      </c>
      <c r="M40" s="138">
        <f>+M44-M42</f>
        <v>-5254535</v>
      </c>
      <c r="N40" s="143">
        <f>+(N44-N42)</f>
        <v>-5254.790999999999</v>
      </c>
      <c r="Q40" s="4">
        <f>M39-M40</f>
        <v>-0.10999999940395355</v>
      </c>
    </row>
    <row r="41" spans="9:14" ht="12.75">
      <c r="I41" s="137" t="s">
        <v>6</v>
      </c>
      <c r="M41" s="137" t="s">
        <v>6</v>
      </c>
      <c r="N41" s="139" t="s">
        <v>6</v>
      </c>
    </row>
    <row r="42" spans="1:14" ht="12.75">
      <c r="A42" s="51" t="s">
        <v>61</v>
      </c>
      <c r="I42" s="134">
        <v>11040</v>
      </c>
      <c r="K42" s="51" t="s">
        <v>61</v>
      </c>
      <c r="M42" s="134">
        <v>11039791</v>
      </c>
      <c r="N42" s="139">
        <f>11039791/1000</f>
        <v>11039.791</v>
      </c>
    </row>
    <row r="43" spans="9:13" ht="12.75">
      <c r="I43" s="134"/>
      <c r="M43" s="134"/>
    </row>
    <row r="44" spans="1:14" ht="13.5" thickBot="1">
      <c r="A44" s="51" t="s">
        <v>62</v>
      </c>
      <c r="I44" s="144">
        <v>5785</v>
      </c>
      <c r="K44" s="51" t="s">
        <v>62</v>
      </c>
      <c r="M44" s="144">
        <v>5785256</v>
      </c>
      <c r="N44" s="145">
        <v>5785</v>
      </c>
    </row>
    <row r="45" ht="13.5" thickTop="1">
      <c r="L45" s="133" t="s">
        <v>6</v>
      </c>
    </row>
    <row r="46" ht="12.75">
      <c r="A46" s="53" t="s">
        <v>271</v>
      </c>
    </row>
    <row r="47" ht="12.75">
      <c r="A47" s="54" t="s">
        <v>272</v>
      </c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1">
      <selection activeCell="G39" sqref="G39"/>
    </sheetView>
  </sheetViews>
  <sheetFormatPr defaultColWidth="9.140625" defaultRowHeight="12.75"/>
  <cols>
    <col min="1" max="5" width="9.140625" style="51" customWidth="1"/>
    <col min="6" max="6" width="11.140625" style="51" hidden="1" customWidth="1"/>
    <col min="7" max="7" width="11.28125" style="51" customWidth="1"/>
    <col min="8" max="8" width="2.57421875" style="51" customWidth="1"/>
    <col min="9" max="9" width="13.421875" style="52" customWidth="1"/>
    <col min="10" max="10" width="9.140625" style="51" customWidth="1"/>
    <col min="11" max="11" width="35.28125" style="51" hidden="1" customWidth="1"/>
    <col min="12" max="12" width="13.7109375" style="52" hidden="1" customWidth="1"/>
    <col min="13" max="13" width="13.57421875" style="51" hidden="1" customWidth="1"/>
    <col min="14" max="14" width="11.8515625" style="52" hidden="1" customWidth="1"/>
    <col min="15" max="16" width="0" style="51" hidden="1" customWidth="1"/>
    <col min="17" max="17" width="11.28125" style="0" hidden="1" customWidth="1"/>
  </cols>
  <sheetData>
    <row r="1" ht="18">
      <c r="A1" s="50" t="s">
        <v>0</v>
      </c>
    </row>
    <row r="2" ht="12.75">
      <c r="K2" s="51" t="s">
        <v>23</v>
      </c>
    </row>
    <row r="3" spans="1:11" ht="12.75">
      <c r="A3" s="53" t="s">
        <v>24</v>
      </c>
      <c r="I3" s="54" t="s">
        <v>3</v>
      </c>
      <c r="K3" s="53" t="s">
        <v>24</v>
      </c>
    </row>
    <row r="4" spans="1:13" ht="12.75">
      <c r="A4" s="53" t="s">
        <v>270</v>
      </c>
      <c r="H4" s="54"/>
      <c r="I4" s="55">
        <v>2003</v>
      </c>
      <c r="M4" s="55">
        <v>2003</v>
      </c>
    </row>
    <row r="5" spans="8:13" ht="12.75">
      <c r="H5" s="54"/>
      <c r="I5" s="56" t="s">
        <v>263</v>
      </c>
      <c r="M5" s="56" t="s">
        <v>263</v>
      </c>
    </row>
    <row r="6" spans="8:13" ht="12.75">
      <c r="H6" s="54"/>
      <c r="I6" s="56" t="s">
        <v>25</v>
      </c>
      <c r="M6" s="56" t="s">
        <v>25</v>
      </c>
    </row>
    <row r="7" spans="8:13" ht="12.75">
      <c r="H7" s="54"/>
      <c r="I7" s="131" t="s">
        <v>250</v>
      </c>
      <c r="M7" s="57">
        <v>37894</v>
      </c>
    </row>
    <row r="8" spans="9:14" ht="12.75">
      <c r="I8" s="58" t="s">
        <v>27</v>
      </c>
      <c r="N8" s="127" t="s">
        <v>27</v>
      </c>
    </row>
    <row r="9" ht="12.75">
      <c r="I9" s="51"/>
    </row>
    <row r="10" spans="1:14" ht="12.75">
      <c r="A10" s="51" t="s">
        <v>28</v>
      </c>
      <c r="I10" s="59">
        <v>590</v>
      </c>
      <c r="K10" s="51" t="s">
        <v>28</v>
      </c>
      <c r="M10" s="59">
        <f>SUM('Income statement'!J22)</f>
        <v>589807.569999998</v>
      </c>
      <c r="N10" s="52">
        <v>590</v>
      </c>
    </row>
    <row r="11" spans="1:14" ht="12.75">
      <c r="A11" s="54" t="s">
        <v>29</v>
      </c>
      <c r="I11" s="59"/>
      <c r="K11" s="51" t="s">
        <v>30</v>
      </c>
      <c r="L11" s="52">
        <v>2274531</v>
      </c>
      <c r="N11" s="52">
        <v>2274</v>
      </c>
    </row>
    <row r="12" spans="1:12" ht="12.75">
      <c r="A12" s="51" t="s">
        <v>31</v>
      </c>
      <c r="I12" s="59">
        <v>2274</v>
      </c>
      <c r="K12" s="51" t="s">
        <v>32</v>
      </c>
      <c r="L12" s="52">
        <f>-SUM('Income statement'!J19)</f>
        <v>131360.64</v>
      </c>
    </row>
    <row r="13" spans="1:14" ht="12.75">
      <c r="A13" s="51" t="s">
        <v>33</v>
      </c>
      <c r="I13" s="59">
        <v>-76</v>
      </c>
      <c r="K13" s="51" t="s">
        <v>34</v>
      </c>
      <c r="L13" s="52">
        <f>-SUM('Income statement'!J39)</f>
        <v>-98888.66</v>
      </c>
      <c r="N13" s="52">
        <f>SUM(L12:L14)/1000</f>
        <v>-76.12698999999999</v>
      </c>
    </row>
    <row r="14" spans="9:14" ht="12.75">
      <c r="I14" s="60"/>
      <c r="K14" s="51" t="s">
        <v>35</v>
      </c>
      <c r="L14" s="52">
        <f>-SUM('Income statement'!J38)</f>
        <v>-108598.97</v>
      </c>
      <c r="N14" s="65"/>
    </row>
    <row r="15" spans="1:14" ht="12.75">
      <c r="A15" s="51" t="s">
        <v>36</v>
      </c>
      <c r="I15" s="61">
        <f>+SUM(I10:I14)</f>
        <v>2788</v>
      </c>
      <c r="L15" s="52" t="s">
        <v>6</v>
      </c>
      <c r="M15" s="61">
        <f>SUM(L11:L15)+M10</f>
        <v>2788211.5799999977</v>
      </c>
      <c r="N15" s="52">
        <f>+SUM(N10:N14)</f>
        <v>2787.87301</v>
      </c>
    </row>
    <row r="16" spans="9:13" ht="12.75">
      <c r="I16" s="59"/>
      <c r="K16" s="51" t="s">
        <v>37</v>
      </c>
      <c r="M16" s="61">
        <v>0</v>
      </c>
    </row>
    <row r="17" spans="1:11" ht="12.75">
      <c r="A17" s="54" t="s">
        <v>38</v>
      </c>
      <c r="I17" s="62" t="s">
        <v>6</v>
      </c>
      <c r="K17" s="54" t="s">
        <v>38</v>
      </c>
    </row>
    <row r="18" spans="1:14" ht="12.75">
      <c r="A18" s="51" t="s">
        <v>39</v>
      </c>
      <c r="I18" s="59">
        <v>19</v>
      </c>
      <c r="K18" s="51" t="s">
        <v>40</v>
      </c>
      <c r="L18" s="52">
        <f>-SUM('Balance sheet'!F12)</f>
        <v>18692.490000000224</v>
      </c>
      <c r="N18" s="52">
        <v>19</v>
      </c>
    </row>
    <row r="19" spans="1:14" ht="12.75">
      <c r="A19" s="51" t="s">
        <v>41</v>
      </c>
      <c r="I19" s="59">
        <v>-4717</v>
      </c>
      <c r="K19" s="51" t="s">
        <v>41</v>
      </c>
      <c r="L19" s="52">
        <f>-'Balance sheet'!F15+1905</f>
        <v>-4717102.83</v>
      </c>
      <c r="N19" s="52">
        <v>-4717</v>
      </c>
    </row>
    <row r="20" spans="1:14" ht="12.75">
      <c r="A20" s="51" t="s">
        <v>42</v>
      </c>
      <c r="I20" s="60">
        <v>1130</v>
      </c>
      <c r="K20" s="51" t="s">
        <v>42</v>
      </c>
      <c r="L20" s="52">
        <f>'Balance sheet'!F23</f>
        <v>1129746.6500000022</v>
      </c>
      <c r="M20" s="60">
        <f>SUM(L18:L20)</f>
        <v>-3568663.6899999976</v>
      </c>
      <c r="N20" s="65">
        <v>1130</v>
      </c>
    </row>
    <row r="21" ht="12.75">
      <c r="I21" s="63"/>
    </row>
    <row r="22" spans="1:14" ht="12.75">
      <c r="A22" s="51" t="s">
        <v>43</v>
      </c>
      <c r="E22" s="61" t="s">
        <v>6</v>
      </c>
      <c r="I22" s="52">
        <f>+SUM(I15:I20)</f>
        <v>-780</v>
      </c>
      <c r="K22" s="51" t="s">
        <v>43</v>
      </c>
      <c r="L22" s="64" t="s">
        <v>6</v>
      </c>
      <c r="M22" s="59">
        <f>+SUM(M15:M20)</f>
        <v>-780452.1099999999</v>
      </c>
      <c r="N22" s="52">
        <f>+SUM(N15:N20)</f>
        <v>-780.1269900000002</v>
      </c>
    </row>
    <row r="23" spans="5:9" ht="12.75">
      <c r="E23" s="61" t="s">
        <v>6</v>
      </c>
      <c r="I23" s="62" t="s">
        <v>6</v>
      </c>
    </row>
    <row r="24" spans="1:14" ht="12.75">
      <c r="A24" s="51" t="s">
        <v>44</v>
      </c>
      <c r="I24" s="60">
        <v>-87</v>
      </c>
      <c r="K24" s="51" t="s">
        <v>44</v>
      </c>
      <c r="L24" s="52" t="s">
        <v>6</v>
      </c>
      <c r="M24" s="65">
        <v>-87332</v>
      </c>
      <c r="N24" s="65">
        <v>-87</v>
      </c>
    </row>
    <row r="25" spans="1:11" ht="12.75">
      <c r="A25" s="54" t="s">
        <v>45</v>
      </c>
      <c r="I25" s="63"/>
      <c r="K25" s="54" t="s">
        <v>45</v>
      </c>
    </row>
    <row r="26" spans="1:14" ht="12.75">
      <c r="A26" s="51" t="s">
        <v>46</v>
      </c>
      <c r="I26" s="59">
        <f>+I22+I24</f>
        <v>-867</v>
      </c>
      <c r="K26" s="51" t="s">
        <v>46</v>
      </c>
      <c r="L26" s="52" t="s">
        <v>6</v>
      </c>
      <c r="M26" s="63">
        <f>+M22+M24</f>
        <v>-867784.1099999999</v>
      </c>
      <c r="N26" s="52">
        <f>+N22+N24</f>
        <v>-867.1269900000002</v>
      </c>
    </row>
    <row r="27" spans="9:12" ht="12.75">
      <c r="I27" s="59"/>
      <c r="L27" s="52" t="s">
        <v>6</v>
      </c>
    </row>
    <row r="28" spans="1:11" ht="12.75">
      <c r="A28" s="54" t="s">
        <v>47</v>
      </c>
      <c r="I28" s="59"/>
      <c r="K28" s="54" t="s">
        <v>47</v>
      </c>
    </row>
    <row r="29" spans="1:14" ht="12.75">
      <c r="A29" s="51" t="s">
        <v>48</v>
      </c>
      <c r="I29" s="59">
        <v>109</v>
      </c>
      <c r="K29" s="51" t="s">
        <v>48</v>
      </c>
      <c r="L29" s="52" t="s">
        <v>49</v>
      </c>
      <c r="M29" s="51">
        <v>108599</v>
      </c>
      <c r="N29" s="52">
        <v>109</v>
      </c>
    </row>
    <row r="30" spans="1:14" ht="12.75">
      <c r="A30" s="51" t="s">
        <v>50</v>
      </c>
      <c r="I30" s="59">
        <v>-1828</v>
      </c>
      <c r="K30" s="51" t="s">
        <v>50</v>
      </c>
      <c r="L30" s="52" t="s">
        <v>51</v>
      </c>
      <c r="M30" s="52">
        <v>-1827950</v>
      </c>
      <c r="N30" s="52">
        <v>-1828</v>
      </c>
    </row>
    <row r="31" spans="1:14" ht="12.75">
      <c r="A31" s="51" t="s">
        <v>52</v>
      </c>
      <c r="I31" s="59">
        <v>92</v>
      </c>
      <c r="K31" s="51" t="s">
        <v>52</v>
      </c>
      <c r="L31" s="52" t="s">
        <v>53</v>
      </c>
      <c r="M31" s="51">
        <v>92000</v>
      </c>
      <c r="N31" s="52">
        <v>92</v>
      </c>
    </row>
    <row r="32" spans="1:14" ht="12.75">
      <c r="A32" s="51" t="s">
        <v>54</v>
      </c>
      <c r="I32" s="66">
        <f>SUM(I29:I31)</f>
        <v>-1627</v>
      </c>
      <c r="K32" s="51" t="s">
        <v>54</v>
      </c>
      <c r="M32" s="66">
        <f>SUM(M29:M31)</f>
        <v>-1627351</v>
      </c>
      <c r="N32" s="128">
        <f>SUM(N29:N31)</f>
        <v>-1627</v>
      </c>
    </row>
    <row r="33" ht="12.75">
      <c r="I33" s="63"/>
    </row>
    <row r="34" spans="1:11" ht="12.75">
      <c r="A34" s="54" t="s">
        <v>55</v>
      </c>
      <c r="I34" s="59"/>
      <c r="K34" s="54" t="s">
        <v>55</v>
      </c>
    </row>
    <row r="35" spans="2:14" ht="12.75">
      <c r="B35" s="51" t="s">
        <v>56</v>
      </c>
      <c r="I35" s="59">
        <v>-2025</v>
      </c>
      <c r="K35" s="51" t="s">
        <v>56</v>
      </c>
      <c r="M35" s="59">
        <v>-2025000</v>
      </c>
      <c r="N35" s="52">
        <v>-2025</v>
      </c>
    </row>
    <row r="36" spans="2:14" ht="12.75">
      <c r="B36" s="51" t="s">
        <v>57</v>
      </c>
      <c r="I36" s="59">
        <v>-734</v>
      </c>
      <c r="K36" s="51" t="s">
        <v>57</v>
      </c>
      <c r="L36" s="52" t="s">
        <v>58</v>
      </c>
      <c r="M36" s="59">
        <v>-734400</v>
      </c>
      <c r="N36" s="52">
        <v>-734</v>
      </c>
    </row>
    <row r="37" spans="9:14" ht="12.75">
      <c r="I37" s="59"/>
      <c r="M37" s="59">
        <v>0</v>
      </c>
      <c r="N37" s="52">
        <v>0</v>
      </c>
    </row>
    <row r="38" spans="1:14" ht="12.75">
      <c r="A38" s="51" t="s">
        <v>59</v>
      </c>
      <c r="I38" s="66">
        <f>SUM(I35:I36)</f>
        <v>-2759</v>
      </c>
      <c r="K38" s="51" t="s">
        <v>59</v>
      </c>
      <c r="M38" s="66">
        <f>SUM(M35:M37)</f>
        <v>-2759400</v>
      </c>
      <c r="N38" s="128">
        <f>SUM(N35:N37)</f>
        <v>-2759</v>
      </c>
    </row>
    <row r="39" spans="9:14" ht="12.75">
      <c r="I39" s="67" t="s">
        <v>6</v>
      </c>
      <c r="M39" s="67">
        <f>+M26+M32+M38</f>
        <v>-5254535.109999999</v>
      </c>
      <c r="N39" s="67">
        <f>+N26+N32+N38</f>
        <v>-5253.126990000001</v>
      </c>
    </row>
    <row r="40" spans="1:17" ht="12.75">
      <c r="A40" s="51" t="s">
        <v>60</v>
      </c>
      <c r="E40" s="61" t="s">
        <v>6</v>
      </c>
      <c r="I40" s="129">
        <f>+(I44-I42)</f>
        <v>-5255</v>
      </c>
      <c r="K40" s="51" t="s">
        <v>60</v>
      </c>
      <c r="M40" s="63">
        <f>+M44-M42</f>
        <v>-5254535</v>
      </c>
      <c r="N40" s="129">
        <f>+(N44-N42)</f>
        <v>-5254.790999999999</v>
      </c>
      <c r="Q40" s="4">
        <f>M39-M40</f>
        <v>-0.10999999940395355</v>
      </c>
    </row>
    <row r="41" spans="9:14" ht="12.75">
      <c r="I41" s="62" t="s">
        <v>6</v>
      </c>
      <c r="M41" s="62" t="s">
        <v>6</v>
      </c>
      <c r="N41" s="64" t="s">
        <v>6</v>
      </c>
    </row>
    <row r="42" spans="1:14" ht="12.75">
      <c r="A42" s="51" t="s">
        <v>61</v>
      </c>
      <c r="I42" s="59">
        <v>11040</v>
      </c>
      <c r="K42" s="51" t="s">
        <v>61</v>
      </c>
      <c r="M42" s="59">
        <v>11039791</v>
      </c>
      <c r="N42" s="64">
        <f>11039791/1000</f>
        <v>11039.791</v>
      </c>
    </row>
    <row r="43" spans="9:13" ht="12.75">
      <c r="I43" s="59"/>
      <c r="M43" s="59"/>
    </row>
    <row r="44" spans="1:14" ht="13.5" thickBot="1">
      <c r="A44" s="51" t="s">
        <v>62</v>
      </c>
      <c r="I44" s="68">
        <v>5785</v>
      </c>
      <c r="K44" s="51" t="s">
        <v>62</v>
      </c>
      <c r="M44" s="68">
        <v>5785256</v>
      </c>
      <c r="N44" s="130">
        <v>5785</v>
      </c>
    </row>
    <row r="45" ht="13.5" thickTop="1">
      <c r="L45" s="52" t="s">
        <v>6</v>
      </c>
    </row>
    <row r="46" ht="12.75">
      <c r="A46" s="53" t="s">
        <v>271</v>
      </c>
    </row>
    <row r="47" ht="12.75">
      <c r="A47" s="54" t="s">
        <v>272</v>
      </c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8">
      <selection activeCell="C20" sqref="C20"/>
    </sheetView>
  </sheetViews>
  <sheetFormatPr defaultColWidth="9.140625" defaultRowHeight="12.75"/>
  <cols>
    <col min="1" max="1" width="29.421875" style="51" customWidth="1"/>
    <col min="2" max="2" width="10.8515625" style="51" customWidth="1"/>
    <col min="3" max="3" width="12.7109375" style="51" customWidth="1"/>
    <col min="4" max="4" width="12.57421875" style="51" customWidth="1"/>
    <col min="5" max="5" width="13.00390625" style="51" customWidth="1"/>
    <col min="6" max="6" width="12.140625" style="51" customWidth="1"/>
    <col min="7" max="8" width="0" style="51" hidden="1" customWidth="1"/>
    <col min="9" max="9" width="30.140625" style="51" hidden="1" customWidth="1"/>
    <col min="10" max="10" width="12.8515625" style="51" hidden="1" customWidth="1"/>
    <col min="11" max="11" width="12.00390625" style="51" hidden="1" customWidth="1"/>
    <col min="12" max="12" width="11.28125" style="51" hidden="1" customWidth="1"/>
    <col min="13" max="13" width="12.7109375" style="51" hidden="1" customWidth="1"/>
    <col min="14" max="14" width="0" style="51" hidden="1" customWidth="1"/>
    <col min="15" max="20" width="9.140625" style="51" customWidth="1"/>
  </cols>
  <sheetData>
    <row r="1" spans="1:2" ht="18">
      <c r="A1" s="50" t="s">
        <v>0</v>
      </c>
      <c r="B1" s="50"/>
    </row>
    <row r="2" spans="2:10" ht="12.75">
      <c r="B2" s="51" t="s">
        <v>1</v>
      </c>
      <c r="J2" s="51" t="s">
        <v>63</v>
      </c>
    </row>
    <row r="3" spans="1:10" ht="12.75">
      <c r="A3" s="53" t="s">
        <v>64</v>
      </c>
      <c r="B3" s="69"/>
      <c r="J3" s="51" t="s">
        <v>236</v>
      </c>
    </row>
    <row r="4" spans="1:5" ht="12.75">
      <c r="A4" s="53" t="s">
        <v>301</v>
      </c>
      <c r="B4" s="69"/>
      <c r="C4" s="54" t="s">
        <v>3</v>
      </c>
      <c r="E4" s="54" t="s">
        <v>3</v>
      </c>
    </row>
    <row r="5" spans="1:13" ht="12.75">
      <c r="A5" s="69"/>
      <c r="B5" s="69"/>
      <c r="F5" s="70"/>
      <c r="M5" s="51" t="s">
        <v>65</v>
      </c>
    </row>
    <row r="6" spans="1:13" ht="12.75">
      <c r="A6" s="69"/>
      <c r="B6" s="69"/>
      <c r="C6" s="71" t="s">
        <v>257</v>
      </c>
      <c r="E6" s="71" t="s">
        <v>274</v>
      </c>
      <c r="M6" s="51" t="s">
        <v>66</v>
      </c>
    </row>
    <row r="7" spans="2:13" ht="12.75">
      <c r="B7" s="72" t="s">
        <v>67</v>
      </c>
      <c r="C7" s="71" t="s">
        <v>239</v>
      </c>
      <c r="D7" s="71" t="s">
        <v>240</v>
      </c>
      <c r="E7" s="71" t="s">
        <v>239</v>
      </c>
      <c r="F7" s="71" t="s">
        <v>240</v>
      </c>
      <c r="M7" s="51" t="s">
        <v>68</v>
      </c>
    </row>
    <row r="8" spans="1:13" ht="12.75">
      <c r="A8" s="69"/>
      <c r="B8" s="69"/>
      <c r="C8" s="58" t="s">
        <v>27</v>
      </c>
      <c r="D8" s="58" t="s">
        <v>69</v>
      </c>
      <c r="E8" s="58" t="s">
        <v>27</v>
      </c>
      <c r="F8" s="58" t="s">
        <v>69</v>
      </c>
      <c r="M8" s="51" t="s">
        <v>70</v>
      </c>
    </row>
    <row r="9" spans="1:13" ht="12.75">
      <c r="A9" s="69"/>
      <c r="B9" s="69"/>
      <c r="C9" s="73" t="s">
        <v>6</v>
      </c>
      <c r="D9" s="73" t="s">
        <v>6</v>
      </c>
      <c r="E9" s="73" t="s">
        <v>6</v>
      </c>
      <c r="F9" s="73" t="s">
        <v>6</v>
      </c>
      <c r="J9" s="51" t="s">
        <v>71</v>
      </c>
      <c r="K9" s="51" t="s">
        <v>72</v>
      </c>
      <c r="L9" s="51" t="s">
        <v>73</v>
      </c>
      <c r="M9" s="51" t="s">
        <v>74</v>
      </c>
    </row>
    <row r="10" spans="1:13" ht="12.75">
      <c r="A10" s="74" t="s">
        <v>75</v>
      </c>
      <c r="B10" s="74"/>
      <c r="C10" s="75">
        <f>+E10-'[1]Sheet7'!$E$10</f>
        <v>13453</v>
      </c>
      <c r="D10" s="75">
        <v>13375</v>
      </c>
      <c r="E10" s="75">
        <v>35464</v>
      </c>
      <c r="F10" s="61">
        <v>31421</v>
      </c>
      <c r="I10" s="74" t="s">
        <v>75</v>
      </c>
      <c r="J10" s="59">
        <f>+K10+L10+M10</f>
        <v>35464232.22</v>
      </c>
      <c r="K10" s="59">
        <f>15725325.42-9358.69</f>
        <v>15715966.73</v>
      </c>
      <c r="L10" s="59">
        <f>19810639.57-62374.08</f>
        <v>19748265.490000002</v>
      </c>
      <c r="M10" s="52">
        <v>0</v>
      </c>
    </row>
    <row r="11" spans="1:13" ht="12.75">
      <c r="A11" s="51" t="s">
        <v>76</v>
      </c>
      <c r="C11" s="67">
        <f>+E11+8247+12756</f>
        <v>-11203</v>
      </c>
      <c r="D11" s="60">
        <v>-12018</v>
      </c>
      <c r="E11" s="67">
        <v>-32206</v>
      </c>
      <c r="F11" s="76">
        <v>-28703</v>
      </c>
      <c r="I11" s="51" t="s">
        <v>76</v>
      </c>
      <c r="J11" s="59">
        <f>+K11+L11+M11</f>
        <v>32205756.98</v>
      </c>
      <c r="K11" s="59">
        <v>15063623.55</v>
      </c>
      <c r="L11" s="59">
        <v>17142133.43</v>
      </c>
      <c r="M11" s="52">
        <v>0</v>
      </c>
    </row>
    <row r="12" spans="1:12" ht="12.75">
      <c r="A12" s="51" t="s">
        <v>77</v>
      </c>
      <c r="C12" s="61">
        <f>+C10+C11</f>
        <v>2250</v>
      </c>
      <c r="D12" s="61">
        <v>1357</v>
      </c>
      <c r="E12" s="61">
        <f>+E10+E11</f>
        <v>3258</v>
      </c>
      <c r="F12" s="61">
        <v>4718</v>
      </c>
      <c r="I12" s="51" t="s">
        <v>77</v>
      </c>
      <c r="J12" s="59">
        <f>+J10-J11</f>
        <v>3258475.2399999984</v>
      </c>
      <c r="K12" s="59">
        <f>+K10-K11</f>
        <v>652343.1799999997</v>
      </c>
      <c r="L12" s="59">
        <f>+L10-L11</f>
        <v>2606132.0600000024</v>
      </c>
    </row>
    <row r="13" spans="3:13" ht="12.75">
      <c r="C13" s="77"/>
      <c r="D13" s="61"/>
      <c r="E13" s="61"/>
      <c r="F13" s="61" t="s">
        <v>6</v>
      </c>
      <c r="J13" s="59"/>
      <c r="K13" s="59"/>
      <c r="L13" s="59"/>
      <c r="M13" s="51" t="s">
        <v>78</v>
      </c>
    </row>
    <row r="14" spans="1:13" ht="12.75">
      <c r="A14" s="51" t="s">
        <v>79</v>
      </c>
      <c r="B14" s="51">
        <v>1</v>
      </c>
      <c r="C14" s="59">
        <f>SUM(C44)</f>
        <v>374</v>
      </c>
      <c r="D14" s="59">
        <v>540</v>
      </c>
      <c r="E14" s="59">
        <v>1101</v>
      </c>
      <c r="F14" s="61">
        <v>1473</v>
      </c>
      <c r="I14" s="51" t="s">
        <v>80</v>
      </c>
      <c r="J14" s="59">
        <f>+J46</f>
        <v>1100858.68</v>
      </c>
      <c r="K14" s="59">
        <v>1325499.76</v>
      </c>
      <c r="L14" s="59">
        <v>205496.92</v>
      </c>
      <c r="M14" s="52">
        <v>-450000</v>
      </c>
    </row>
    <row r="15" spans="1:13" ht="12.75">
      <c r="A15" s="51" t="s">
        <v>81</v>
      </c>
      <c r="C15" s="62">
        <f>+E15+2147</f>
        <v>-968</v>
      </c>
      <c r="D15" s="59">
        <v>-1161</v>
      </c>
      <c r="E15" s="59">
        <v>-3115</v>
      </c>
      <c r="F15" s="61">
        <v>-3222</v>
      </c>
      <c r="I15" s="51" t="s">
        <v>82</v>
      </c>
      <c r="J15" s="59">
        <f>+K15+L15+M15</f>
        <v>-3115411.62</v>
      </c>
      <c r="K15" s="59">
        <f>-2646812.18-K42</f>
        <v>-2659208.18</v>
      </c>
      <c r="L15" s="59">
        <f>-898737.44-L42</f>
        <v>-906203.44</v>
      </c>
      <c r="M15" s="52">
        <v>450000</v>
      </c>
    </row>
    <row r="16" spans="1:13" ht="12.75">
      <c r="A16" s="51" t="s">
        <v>83</v>
      </c>
      <c r="C16" s="59">
        <f>+E16+348</f>
        <v>-120</v>
      </c>
      <c r="D16" s="59">
        <v>-162</v>
      </c>
      <c r="E16" s="59">
        <v>-468</v>
      </c>
      <c r="F16" s="61">
        <v>-404</v>
      </c>
      <c r="I16" s="51" t="s">
        <v>84</v>
      </c>
      <c r="J16" s="59">
        <f>+K16+L16</f>
        <v>-468178.22000000003</v>
      </c>
      <c r="K16" s="59">
        <v>-86496.96</v>
      </c>
      <c r="L16" s="59">
        <v>-381681.26</v>
      </c>
      <c r="M16" s="78" t="s">
        <v>237</v>
      </c>
    </row>
    <row r="17" spans="1:12" ht="12.75">
      <c r="A17" s="51" t="s">
        <v>85</v>
      </c>
      <c r="C17" s="60">
        <f>E17+37</f>
        <v>-18</v>
      </c>
      <c r="D17" s="60">
        <v>-17</v>
      </c>
      <c r="E17" s="60">
        <v>-55</v>
      </c>
      <c r="F17" s="76">
        <v>-48</v>
      </c>
      <c r="I17" s="51" t="s">
        <v>86</v>
      </c>
      <c r="J17" s="59">
        <f>+K17+L17+M17</f>
        <v>-54575.87</v>
      </c>
      <c r="K17" s="59">
        <v>-20538.9</v>
      </c>
      <c r="L17" s="59">
        <v>-34036.97</v>
      </c>
    </row>
    <row r="18" spans="1:12" ht="12.75">
      <c r="A18" s="125" t="s">
        <v>307</v>
      </c>
      <c r="C18" s="59">
        <f>SUM(C12:C17)</f>
        <v>1518</v>
      </c>
      <c r="D18" s="59">
        <v>557</v>
      </c>
      <c r="E18" s="59">
        <f>SUM(E12:E17)</f>
        <v>721</v>
      </c>
      <c r="F18" s="61">
        <v>2517</v>
      </c>
      <c r="I18" s="79" t="s">
        <v>87</v>
      </c>
      <c r="J18" s="59">
        <f>SUM(J12:J17)</f>
        <v>721168.209999998</v>
      </c>
      <c r="K18" s="59">
        <f>SUM(K12:K17)</f>
        <v>-788401.1000000004</v>
      </c>
      <c r="L18" s="59">
        <f>SUM(L12:L17)</f>
        <v>1489707.3100000024</v>
      </c>
    </row>
    <row r="19" spans="1:12" ht="12.75">
      <c r="A19" s="125" t="s">
        <v>88</v>
      </c>
      <c r="B19" s="74"/>
      <c r="C19" s="75">
        <f>E19+86</f>
        <v>-45</v>
      </c>
      <c r="D19" s="59">
        <v>-62</v>
      </c>
      <c r="E19" s="75">
        <v>-131</v>
      </c>
      <c r="F19" s="61">
        <v>-197</v>
      </c>
      <c r="I19" s="74" t="s">
        <v>88</v>
      </c>
      <c r="J19" s="59">
        <f>+K19+L19+M19</f>
        <v>-131360.64</v>
      </c>
      <c r="K19" s="59">
        <v>0</v>
      </c>
      <c r="L19" s="59">
        <v>-131360.64</v>
      </c>
    </row>
    <row r="20" spans="1:12" ht="12.75">
      <c r="A20" s="79" t="s">
        <v>6</v>
      </c>
      <c r="B20" s="79"/>
      <c r="C20" s="80" t="s">
        <v>6</v>
      </c>
      <c r="D20" s="75" t="s">
        <v>6</v>
      </c>
      <c r="E20" s="80" t="s">
        <v>6</v>
      </c>
      <c r="F20" s="61" t="s">
        <v>6</v>
      </c>
      <c r="I20" s="79" t="s">
        <v>6</v>
      </c>
      <c r="J20" s="59"/>
      <c r="K20" s="59" t="s">
        <v>6</v>
      </c>
      <c r="L20" s="59" t="s">
        <v>6</v>
      </c>
    </row>
    <row r="21" spans="1:12" ht="12.75">
      <c r="A21" s="125" t="s">
        <v>89</v>
      </c>
      <c r="B21" s="79"/>
      <c r="C21" s="81">
        <v>0</v>
      </c>
      <c r="D21" s="81">
        <v>0</v>
      </c>
      <c r="E21" s="81">
        <v>0</v>
      </c>
      <c r="F21" s="76">
        <v>0</v>
      </c>
      <c r="I21" s="79" t="s">
        <v>89</v>
      </c>
      <c r="J21" s="59"/>
      <c r="K21" s="59"/>
      <c r="L21" s="59" t="s">
        <v>6</v>
      </c>
    </row>
    <row r="22" spans="1:13" ht="12.75">
      <c r="A22" s="79" t="s">
        <v>318</v>
      </c>
      <c r="B22" s="79"/>
      <c r="C22" s="82">
        <f>C18+C19</f>
        <v>1473</v>
      </c>
      <c r="D22" s="82">
        <v>495</v>
      </c>
      <c r="E22" s="59">
        <f>+E19+E18</f>
        <v>590</v>
      </c>
      <c r="F22" s="61">
        <v>2320</v>
      </c>
      <c r="I22" s="79" t="s">
        <v>90</v>
      </c>
      <c r="J22" s="59">
        <f>+J19+J18</f>
        <v>589807.569999998</v>
      </c>
      <c r="K22" s="59">
        <f>+K19+K18</f>
        <v>-788401.1000000004</v>
      </c>
      <c r="L22" s="59">
        <f>+L19+L18</f>
        <v>1358346.6700000023</v>
      </c>
      <c r="M22" s="61" t="s">
        <v>6</v>
      </c>
    </row>
    <row r="23" spans="1:12" ht="12.75">
      <c r="A23" s="79" t="s">
        <v>6</v>
      </c>
      <c r="B23" s="79"/>
      <c r="C23" s="82"/>
      <c r="D23" s="82"/>
      <c r="E23" s="82"/>
      <c r="F23" s="61" t="s">
        <v>6</v>
      </c>
      <c r="I23" s="79" t="s">
        <v>6</v>
      </c>
      <c r="J23" s="59"/>
      <c r="K23" s="59"/>
      <c r="L23" s="59"/>
    </row>
    <row r="24" spans="1:12" ht="12.75">
      <c r="A24" s="74" t="s">
        <v>91</v>
      </c>
      <c r="B24" s="74">
        <v>18</v>
      </c>
      <c r="C24" s="86">
        <f>E24+24</f>
        <v>-7</v>
      </c>
      <c r="D24" s="86">
        <v>-28</v>
      </c>
      <c r="E24" s="86">
        <v>-31</v>
      </c>
      <c r="F24" s="76">
        <v>-153</v>
      </c>
      <c r="I24" s="74" t="s">
        <v>92</v>
      </c>
      <c r="J24" s="59">
        <f>K24+L24</f>
        <v>-31000</v>
      </c>
      <c r="K24" s="52">
        <v>-26000</v>
      </c>
      <c r="L24" s="52">
        <v>-5000</v>
      </c>
    </row>
    <row r="25" spans="1:12" ht="12.75">
      <c r="A25" s="79" t="s">
        <v>93</v>
      </c>
      <c r="B25" s="79"/>
      <c r="C25" s="82">
        <f>SUM(C22:C24)</f>
        <v>1466</v>
      </c>
      <c r="D25" s="82">
        <v>467</v>
      </c>
      <c r="E25" s="82">
        <v>559</v>
      </c>
      <c r="F25" s="61">
        <v>2167</v>
      </c>
      <c r="I25" s="79" t="s">
        <v>93</v>
      </c>
      <c r="J25" s="59">
        <f>+J24+J22</f>
        <v>558807.569999998</v>
      </c>
      <c r="K25" s="59">
        <f>+K24+K22</f>
        <v>-814401.1000000004</v>
      </c>
      <c r="L25" s="59">
        <f>+L24+L22</f>
        <v>1353346.6700000023</v>
      </c>
    </row>
    <row r="26" spans="1:12" ht="12.75">
      <c r="A26" s="79"/>
      <c r="B26" s="79"/>
      <c r="D26" s="82"/>
      <c r="E26" s="82"/>
      <c r="F26" s="61" t="s">
        <v>6</v>
      </c>
      <c r="I26" s="79"/>
      <c r="J26" s="59" t="s">
        <v>6</v>
      </c>
      <c r="K26" s="59"/>
      <c r="L26" s="59"/>
    </row>
    <row r="27" spans="1:12" ht="12.75">
      <c r="A27" s="79" t="s">
        <v>94</v>
      </c>
      <c r="B27" s="79"/>
      <c r="C27" s="82">
        <v>0</v>
      </c>
      <c r="D27" s="82"/>
      <c r="E27" s="82">
        <v>0</v>
      </c>
      <c r="F27" s="61">
        <v>0</v>
      </c>
      <c r="I27" s="79" t="s">
        <v>94</v>
      </c>
      <c r="J27" s="59">
        <v>0</v>
      </c>
      <c r="K27" s="59">
        <v>0</v>
      </c>
      <c r="L27" s="59">
        <v>0</v>
      </c>
    </row>
    <row r="28" spans="1:12" ht="12.75">
      <c r="A28" s="79" t="s">
        <v>95</v>
      </c>
      <c r="B28" s="79"/>
      <c r="C28" s="83">
        <f>SUM(C25:C27)</f>
        <v>1466</v>
      </c>
      <c r="D28" s="83">
        <v>467</v>
      </c>
      <c r="E28" s="66">
        <f>+E27+E25</f>
        <v>559</v>
      </c>
      <c r="F28" s="84">
        <v>2167</v>
      </c>
      <c r="I28" s="79" t="s">
        <v>95</v>
      </c>
      <c r="J28" s="59">
        <f>+J27+J25</f>
        <v>558807.569999998</v>
      </c>
      <c r="K28" s="59">
        <f>+K27+K25</f>
        <v>-814401.1000000004</v>
      </c>
      <c r="L28" s="59">
        <f>+L27+L25</f>
        <v>1353346.6700000023</v>
      </c>
    </row>
    <row r="29" spans="1:12" ht="12.75">
      <c r="A29" s="79" t="s">
        <v>6</v>
      </c>
      <c r="B29" s="79"/>
      <c r="C29" s="82"/>
      <c r="D29" s="82"/>
      <c r="E29" s="82"/>
      <c r="F29" s="61" t="s">
        <v>6</v>
      </c>
      <c r="I29" s="79" t="s">
        <v>6</v>
      </c>
      <c r="J29" s="59"/>
      <c r="K29" s="59"/>
      <c r="L29" s="59"/>
    </row>
    <row r="30" spans="1:12" ht="12.75">
      <c r="A30" s="79" t="s">
        <v>304</v>
      </c>
      <c r="B30" s="79" t="s">
        <v>97</v>
      </c>
      <c r="C30" s="85">
        <f>+C28/20250*100</f>
        <v>7.239506172839507</v>
      </c>
      <c r="D30" s="85">
        <f>+D28/20250*100</f>
        <v>2.306172839506173</v>
      </c>
      <c r="E30" s="85">
        <f>+E28/20250*100</f>
        <v>2.7604938271604937</v>
      </c>
      <c r="F30" s="52">
        <v>10.7</v>
      </c>
      <c r="I30" s="79" t="s">
        <v>96</v>
      </c>
      <c r="J30" s="52">
        <f>+J28/202500</f>
        <v>2.7595435555555454</v>
      </c>
      <c r="K30" s="59"/>
      <c r="L30" s="59"/>
    </row>
    <row r="31" spans="1:12" ht="12.75">
      <c r="A31" s="79" t="s">
        <v>98</v>
      </c>
      <c r="B31" s="79" t="s">
        <v>273</v>
      </c>
      <c r="C31" s="86">
        <v>0</v>
      </c>
      <c r="D31" s="86">
        <v>0</v>
      </c>
      <c r="E31" s="86">
        <v>0</v>
      </c>
      <c r="F31" s="76">
        <v>0</v>
      </c>
      <c r="I31" s="79" t="s">
        <v>98</v>
      </c>
      <c r="J31" s="59"/>
      <c r="K31" s="59"/>
      <c r="L31" s="59"/>
    </row>
    <row r="32" spans="1:12" ht="12.75">
      <c r="A32" s="79"/>
      <c r="B32" s="79"/>
      <c r="C32" s="82"/>
      <c r="D32" s="82"/>
      <c r="E32" s="82"/>
      <c r="F32" s="61" t="s">
        <v>6</v>
      </c>
      <c r="G32" s="55"/>
      <c r="I32" s="79"/>
      <c r="J32" s="87"/>
      <c r="K32" s="59"/>
      <c r="L32" s="59"/>
    </row>
    <row r="33" spans="1:12" ht="12.75">
      <c r="A33" s="88" t="s">
        <v>99</v>
      </c>
      <c r="B33" s="88"/>
      <c r="C33" s="82"/>
      <c r="D33" s="82"/>
      <c r="E33" s="82"/>
      <c r="F33" s="61" t="s">
        <v>6</v>
      </c>
      <c r="G33" s="55"/>
      <c r="I33" s="88" t="s">
        <v>99</v>
      </c>
      <c r="J33" s="87"/>
      <c r="K33" s="59"/>
      <c r="L33" s="59"/>
    </row>
    <row r="34" spans="1:12" ht="12.75">
      <c r="A34" s="79" t="s">
        <v>308</v>
      </c>
      <c r="B34" s="79"/>
      <c r="C34" s="82">
        <f>71-74</f>
        <v>-3</v>
      </c>
      <c r="D34" s="82">
        <v>27</v>
      </c>
      <c r="E34" s="82">
        <v>71</v>
      </c>
      <c r="F34" s="61">
        <v>74</v>
      </c>
      <c r="I34" s="79" t="s">
        <v>100</v>
      </c>
      <c r="J34" s="59">
        <f>+L34+K34</f>
        <v>71405.2</v>
      </c>
      <c r="K34" s="59">
        <f>92000-19144.8</f>
        <v>72855.2</v>
      </c>
      <c r="L34" s="59">
        <v>-1450</v>
      </c>
    </row>
    <row r="35" spans="1:12" ht="12.75">
      <c r="A35" s="79" t="s">
        <v>101</v>
      </c>
      <c r="B35" s="79"/>
      <c r="C35" s="82">
        <v>0</v>
      </c>
      <c r="D35" s="82">
        <v>0</v>
      </c>
      <c r="E35" s="82">
        <v>0</v>
      </c>
      <c r="F35" s="61">
        <v>174</v>
      </c>
      <c r="I35" s="79" t="s">
        <v>101</v>
      </c>
      <c r="J35" s="59"/>
      <c r="K35" s="59">
        <v>0</v>
      </c>
      <c r="L35" s="59">
        <v>0</v>
      </c>
    </row>
    <row r="36" spans="1:12" ht="12.75">
      <c r="A36" s="79" t="s">
        <v>102</v>
      </c>
      <c r="B36" s="79"/>
      <c r="C36" s="82"/>
      <c r="D36" s="82"/>
      <c r="E36" s="82"/>
      <c r="F36" s="61">
        <v>0</v>
      </c>
      <c r="I36" s="79" t="s">
        <v>102</v>
      </c>
      <c r="J36" s="59"/>
      <c r="K36" s="59"/>
      <c r="L36" s="59"/>
    </row>
    <row r="37" spans="1:12" ht="12.75">
      <c r="A37" s="74" t="s">
        <v>103</v>
      </c>
      <c r="B37" s="74"/>
      <c r="C37" s="82">
        <f>766-491</f>
        <v>275</v>
      </c>
      <c r="D37" s="82">
        <v>147</v>
      </c>
      <c r="E37" s="82">
        <v>766</v>
      </c>
      <c r="F37" s="61">
        <v>329</v>
      </c>
      <c r="I37" s="74" t="s">
        <v>103</v>
      </c>
      <c r="J37" s="59">
        <f>+L37+K37</f>
        <v>765819.65</v>
      </c>
      <c r="K37" s="59">
        <f>1073931.83-450000-38869.28</f>
        <v>585062.55</v>
      </c>
      <c r="L37" s="59">
        <f>198034.1-17277</f>
        <v>180757.1</v>
      </c>
    </row>
    <row r="38" spans="1:12" ht="12.75">
      <c r="A38" s="74" t="s">
        <v>104</v>
      </c>
      <c r="B38" s="74"/>
      <c r="C38" s="82">
        <f>109-85</f>
        <v>24</v>
      </c>
      <c r="D38" s="82">
        <v>47</v>
      </c>
      <c r="E38" s="82">
        <v>109</v>
      </c>
      <c r="F38" s="61">
        <v>184</v>
      </c>
      <c r="I38" s="74" t="s">
        <v>104</v>
      </c>
      <c r="J38" s="59">
        <f>+L38+K38</f>
        <v>108598.97</v>
      </c>
      <c r="K38" s="59">
        <v>92220.07</v>
      </c>
      <c r="L38" s="59">
        <v>16378.9</v>
      </c>
    </row>
    <row r="39" spans="1:12" ht="12.75">
      <c r="A39" s="74" t="s">
        <v>105</v>
      </c>
      <c r="B39" s="74"/>
      <c r="C39" s="82">
        <f>99-41</f>
        <v>58</v>
      </c>
      <c r="D39" s="82">
        <v>302</v>
      </c>
      <c r="E39" s="82">
        <v>99</v>
      </c>
      <c r="F39" s="61">
        <v>529</v>
      </c>
      <c r="I39" s="74" t="s">
        <v>105</v>
      </c>
      <c r="J39" s="59">
        <f>+L39+K39</f>
        <v>98888.66</v>
      </c>
      <c r="K39" s="59">
        <v>98888.66</v>
      </c>
      <c r="L39" s="59">
        <v>0</v>
      </c>
    </row>
    <row r="40" spans="1:12" ht="12.75">
      <c r="A40" s="74" t="s">
        <v>102</v>
      </c>
      <c r="B40" s="74"/>
      <c r="C40" s="82"/>
      <c r="D40" s="82"/>
      <c r="E40" s="82"/>
      <c r="F40" s="61" t="s">
        <v>6</v>
      </c>
      <c r="I40" s="74" t="s">
        <v>102</v>
      </c>
      <c r="J40" s="59"/>
      <c r="K40" s="59"/>
      <c r="L40" s="59"/>
    </row>
    <row r="41" spans="1:13" ht="12.75">
      <c r="A41" s="74" t="s">
        <v>106</v>
      </c>
      <c r="B41" s="74"/>
      <c r="C41" s="82">
        <v>0</v>
      </c>
      <c r="D41" s="82">
        <v>0</v>
      </c>
      <c r="E41" s="82" t="s">
        <v>6</v>
      </c>
      <c r="F41" s="61" t="s">
        <v>6</v>
      </c>
      <c r="I41" s="74" t="s">
        <v>106</v>
      </c>
      <c r="J41" s="59">
        <f>+L41+K41</f>
        <v>-19862.08</v>
      </c>
      <c r="K41" s="59">
        <f>0.69-12396.69</f>
        <v>-12396</v>
      </c>
      <c r="L41" s="59">
        <v>-7466.08</v>
      </c>
      <c r="M41" s="51" t="s">
        <v>6</v>
      </c>
    </row>
    <row r="42" spans="1:12" ht="12.75">
      <c r="A42" s="74" t="s">
        <v>107</v>
      </c>
      <c r="B42" s="74"/>
      <c r="C42" s="82">
        <v>0</v>
      </c>
      <c r="D42" s="82"/>
      <c r="E42" s="82">
        <v>0</v>
      </c>
      <c r="F42" s="61">
        <v>166</v>
      </c>
      <c r="I42" s="89" t="s">
        <v>108</v>
      </c>
      <c r="J42" s="59">
        <v>19862</v>
      </c>
      <c r="K42" s="59">
        <v>12396</v>
      </c>
      <c r="L42" s="59">
        <v>7466</v>
      </c>
    </row>
    <row r="43" spans="1:12" ht="12.75">
      <c r="A43" s="79" t="s">
        <v>109</v>
      </c>
      <c r="B43" s="79"/>
      <c r="C43" s="86">
        <f>55-35</f>
        <v>20</v>
      </c>
      <c r="D43" s="86">
        <v>17</v>
      </c>
      <c r="E43" s="86">
        <v>56</v>
      </c>
      <c r="F43" s="76">
        <v>17</v>
      </c>
      <c r="I43" s="51" t="s">
        <v>110</v>
      </c>
      <c r="J43" s="59"/>
      <c r="K43" s="59"/>
      <c r="L43" s="59"/>
    </row>
    <row r="44" spans="1:12" ht="12.75">
      <c r="A44" s="79" t="s">
        <v>111</v>
      </c>
      <c r="B44" s="79"/>
      <c r="C44" s="86">
        <f>SUM(C34:C43)</f>
        <v>374</v>
      </c>
      <c r="D44" s="86">
        <f>SUM(D34:D43)</f>
        <v>540</v>
      </c>
      <c r="E44" s="86">
        <f>SUM(E34:E43)</f>
        <v>1101</v>
      </c>
      <c r="F44" s="86">
        <f>SUM(F34:F43)</f>
        <v>1473</v>
      </c>
      <c r="I44" s="74" t="s">
        <v>107</v>
      </c>
      <c r="J44" s="59"/>
      <c r="K44" s="59"/>
      <c r="L44" s="59"/>
    </row>
    <row r="45" spans="1:12" ht="12.75">
      <c r="A45" s="90"/>
      <c r="B45" s="90"/>
      <c r="C45" s="91" t="s">
        <v>6</v>
      </c>
      <c r="D45" s="89"/>
      <c r="E45" s="51" t="s">
        <v>6</v>
      </c>
      <c r="F45" s="89"/>
      <c r="G45" s="89"/>
      <c r="H45" s="89"/>
      <c r="I45" s="79" t="s">
        <v>109</v>
      </c>
      <c r="J45" s="59">
        <f>+L45+K45</f>
        <v>56146.28</v>
      </c>
      <c r="K45" s="59">
        <v>38869.28</v>
      </c>
      <c r="L45" s="59">
        <v>17277</v>
      </c>
    </row>
    <row r="46" spans="1:12" ht="12.75">
      <c r="A46" s="53" t="s">
        <v>275</v>
      </c>
      <c r="B46" s="53"/>
      <c r="I46" s="79" t="s">
        <v>111</v>
      </c>
      <c r="J46" s="59">
        <f>SUM(J34:J45)</f>
        <v>1100858.68</v>
      </c>
      <c r="K46" s="59"/>
      <c r="L46" s="59"/>
    </row>
    <row r="47" spans="1:12" ht="12.75">
      <c r="A47" s="54" t="s">
        <v>272</v>
      </c>
      <c r="B47" s="54"/>
      <c r="J47" s="59"/>
      <c r="K47" s="59" t="s">
        <v>6</v>
      </c>
      <c r="L47" s="59" t="s">
        <v>6</v>
      </c>
    </row>
    <row r="49" ht="12.75">
      <c r="I49" s="51" t="s">
        <v>112</v>
      </c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8">
      <selection activeCell="Q20" sqref="Q20"/>
    </sheetView>
  </sheetViews>
  <sheetFormatPr defaultColWidth="9.140625" defaultRowHeight="12.75"/>
  <cols>
    <col min="1" max="1" width="7.421875" style="51" customWidth="1"/>
    <col min="2" max="2" width="36.7109375" style="51" customWidth="1"/>
    <col min="3" max="3" width="23.57421875" style="51" customWidth="1"/>
    <col min="4" max="4" width="27.140625" style="51" customWidth="1"/>
    <col min="5" max="5" width="27.140625" style="51" hidden="1" customWidth="1"/>
    <col min="6" max="6" width="10.28125" style="51" hidden="1" customWidth="1"/>
    <col min="7" max="7" width="7.7109375" style="51" hidden="1" customWidth="1"/>
    <col min="8" max="9" width="13.57421875" style="59" hidden="1" customWidth="1"/>
    <col min="10" max="10" width="11.28125" style="51" hidden="1" customWidth="1"/>
    <col min="11" max="11" width="12.7109375" style="51" hidden="1" customWidth="1"/>
    <col min="12" max="12" width="0" style="51" hidden="1" customWidth="1"/>
    <col min="13" max="13" width="0" style="0" hidden="1" customWidth="1"/>
    <col min="14" max="14" width="21.421875" style="0" bestFit="1" customWidth="1"/>
    <col min="15" max="15" width="14.7109375" style="0" bestFit="1" customWidth="1"/>
  </cols>
  <sheetData>
    <row r="1" ht="18">
      <c r="A1" s="50" t="s">
        <v>0</v>
      </c>
    </row>
    <row r="2" ht="12.75">
      <c r="A2" s="54" t="s">
        <v>276</v>
      </c>
    </row>
    <row r="3" spans="1:9" ht="12.75">
      <c r="A3" s="54" t="s">
        <v>264</v>
      </c>
      <c r="C3" s="54" t="s">
        <v>113</v>
      </c>
      <c r="H3" s="51" t="s">
        <v>114</v>
      </c>
      <c r="I3" s="51"/>
    </row>
    <row r="4" spans="1:10" ht="12.75">
      <c r="A4" s="53" t="s">
        <v>277</v>
      </c>
      <c r="D4" s="92" t="s">
        <v>115</v>
      </c>
      <c r="E4" s="92"/>
      <c r="H4" s="51" t="s">
        <v>6</v>
      </c>
      <c r="I4" s="51" t="s">
        <v>6</v>
      </c>
      <c r="J4" s="51" t="s">
        <v>116</v>
      </c>
    </row>
    <row r="5" spans="1:11" ht="12.75">
      <c r="A5" s="70"/>
      <c r="B5" s="70"/>
      <c r="C5" s="58" t="s">
        <v>278</v>
      </c>
      <c r="D5" s="58" t="s">
        <v>282</v>
      </c>
      <c r="E5" s="58"/>
      <c r="F5" s="72"/>
      <c r="H5" s="64" t="s">
        <v>6</v>
      </c>
      <c r="I5" s="58" t="s">
        <v>117</v>
      </c>
      <c r="J5" s="64" t="s">
        <v>6</v>
      </c>
      <c r="K5" s="51" t="s">
        <v>65</v>
      </c>
    </row>
    <row r="6" spans="1:11" ht="12.75">
      <c r="A6" s="70"/>
      <c r="B6" s="70"/>
      <c r="C6" s="58" t="s">
        <v>279</v>
      </c>
      <c r="D6" s="58" t="s">
        <v>280</v>
      </c>
      <c r="E6" s="58"/>
      <c r="F6" s="72"/>
      <c r="H6" s="64" t="s">
        <v>6</v>
      </c>
      <c r="I6" s="58" t="s">
        <v>118</v>
      </c>
      <c r="J6" s="64" t="s">
        <v>6</v>
      </c>
      <c r="K6" s="51" t="s">
        <v>66</v>
      </c>
    </row>
    <row r="7" spans="1:11" ht="12.75">
      <c r="A7" s="70"/>
      <c r="B7" s="70"/>
      <c r="C7" s="126" t="s">
        <v>250</v>
      </c>
      <c r="D7" s="58" t="s">
        <v>281</v>
      </c>
      <c r="E7" s="58"/>
      <c r="F7" s="72"/>
      <c r="H7" s="64" t="s">
        <v>119</v>
      </c>
      <c r="I7" s="58" t="s">
        <v>26</v>
      </c>
      <c r="J7" s="52"/>
      <c r="K7" s="51" t="s">
        <v>68</v>
      </c>
    </row>
    <row r="8" spans="1:11" ht="12.75">
      <c r="A8" s="70" t="s">
        <v>6</v>
      </c>
      <c r="B8" s="93" t="s">
        <v>120</v>
      </c>
      <c r="C8" s="58" t="s">
        <v>121</v>
      </c>
      <c r="D8" s="58" t="s">
        <v>121</v>
      </c>
      <c r="E8" s="58"/>
      <c r="F8" s="72"/>
      <c r="H8" s="64" t="s">
        <v>122</v>
      </c>
      <c r="I8" s="64" t="s">
        <v>72</v>
      </c>
      <c r="J8" s="64" t="s">
        <v>73</v>
      </c>
      <c r="K8" s="51" t="s">
        <v>6</v>
      </c>
    </row>
    <row r="9" spans="1:12" ht="12.75">
      <c r="A9" s="70">
        <v>1</v>
      </c>
      <c r="B9" s="94" t="s">
        <v>123</v>
      </c>
      <c r="C9" s="95">
        <v>24484</v>
      </c>
      <c r="D9" s="96">
        <v>24950</v>
      </c>
      <c r="E9" s="94" t="s">
        <v>123</v>
      </c>
      <c r="F9" s="97"/>
      <c r="G9" s="59">
        <v>24484</v>
      </c>
      <c r="H9" s="62">
        <f>+I9+J9</f>
        <v>24483885.29</v>
      </c>
      <c r="I9" s="59">
        <f>SUM('[2]scenario1'!$G$53)</f>
        <v>14801255.089999998</v>
      </c>
      <c r="J9" s="59">
        <f>SUM('[2]scenario1'!$H$53)</f>
        <v>9682630.200000001</v>
      </c>
      <c r="K9" s="59"/>
      <c r="L9" s="59"/>
    </row>
    <row r="10" spans="1:12" ht="12.75">
      <c r="A10" s="70" t="s">
        <v>6</v>
      </c>
      <c r="B10" s="94" t="s">
        <v>6</v>
      </c>
      <c r="C10" s="95"/>
      <c r="D10" s="96"/>
      <c r="E10" s="94" t="s">
        <v>6</v>
      </c>
      <c r="F10" s="97"/>
      <c r="G10" s="59" t="s">
        <v>124</v>
      </c>
      <c r="H10" s="62">
        <f>+I10+K10</f>
        <v>0</v>
      </c>
      <c r="I10" s="59">
        <v>5000002</v>
      </c>
      <c r="J10" s="59"/>
      <c r="K10" s="59">
        <v>-5000002</v>
      </c>
      <c r="L10" s="59"/>
    </row>
    <row r="11" spans="1:12" ht="12.75">
      <c r="A11" s="70" t="s">
        <v>6</v>
      </c>
      <c r="B11" s="93" t="s">
        <v>125</v>
      </c>
      <c r="C11" s="95"/>
      <c r="D11" s="96"/>
      <c r="E11" s="93" t="s">
        <v>125</v>
      </c>
      <c r="F11" s="97"/>
      <c r="G11" s="59"/>
      <c r="H11" s="62" t="s">
        <v>6</v>
      </c>
      <c r="J11" s="59"/>
      <c r="K11" s="59"/>
      <c r="L11" s="59"/>
    </row>
    <row r="12" spans="1:12" ht="12.75">
      <c r="A12" s="70">
        <v>2</v>
      </c>
      <c r="B12" s="94" t="s">
        <v>126</v>
      </c>
      <c r="C12" s="98">
        <v>11816</v>
      </c>
      <c r="D12" s="99">
        <v>11834</v>
      </c>
      <c r="E12" s="94" t="s">
        <v>126</v>
      </c>
      <c r="F12" s="97">
        <f>+H12-11834704</f>
        <v>-18692.490000000224</v>
      </c>
      <c r="G12" s="59">
        <v>11816</v>
      </c>
      <c r="H12" s="62">
        <f>+I12+J12</f>
        <v>11816011.51</v>
      </c>
      <c r="I12" s="62">
        <v>4391612.57</v>
      </c>
      <c r="J12" s="62">
        <f>3976048.94+1687179.7+1749994+11176.3</f>
        <v>7424398.9399999995</v>
      </c>
      <c r="K12" s="59" t="s">
        <v>6</v>
      </c>
      <c r="L12" s="59"/>
    </row>
    <row r="13" spans="1:12" ht="12.75">
      <c r="A13" s="70">
        <v>3</v>
      </c>
      <c r="B13" s="94" t="s">
        <v>127</v>
      </c>
      <c r="C13" s="100">
        <v>14669</v>
      </c>
      <c r="D13" s="101">
        <v>9860</v>
      </c>
      <c r="E13" s="94" t="s">
        <v>127</v>
      </c>
      <c r="F13" s="97">
        <f>+H13-9859830</f>
        <v>4809303.99</v>
      </c>
      <c r="G13" s="59">
        <v>14669</v>
      </c>
      <c r="H13" s="62">
        <f>+I13+J13+K13</f>
        <v>14669133.99</v>
      </c>
      <c r="I13" s="62">
        <v>4798175.42</v>
      </c>
      <c r="J13" s="62">
        <v>13030769.38</v>
      </c>
      <c r="K13" s="59">
        <v>-3159810.81</v>
      </c>
      <c r="L13" s="59">
        <v>0</v>
      </c>
    </row>
    <row r="14" spans="1:12" ht="12.75">
      <c r="A14" s="70">
        <v>4</v>
      </c>
      <c r="B14" s="94" t="s">
        <v>128</v>
      </c>
      <c r="C14" s="102">
        <v>624</v>
      </c>
      <c r="D14" s="101">
        <v>627</v>
      </c>
      <c r="E14" s="94" t="s">
        <v>128</v>
      </c>
      <c r="F14" s="97">
        <f>+H14-627142</f>
        <v>-90296.16000000015</v>
      </c>
      <c r="G14" s="59">
        <v>537</v>
      </c>
      <c r="H14" s="62">
        <f>+I14+J14+K14</f>
        <v>536845.8399999999</v>
      </c>
      <c r="I14" s="62">
        <f>19427596.84+39965+34750+150995</f>
        <v>19653306.84</v>
      </c>
      <c r="J14" s="62">
        <f>40900+184997.64+142760</f>
        <v>368657.64</v>
      </c>
      <c r="K14" s="59">
        <v>-19485118.64</v>
      </c>
      <c r="L14" s="59">
        <v>0</v>
      </c>
    </row>
    <row r="15" spans="1:12" ht="12.75">
      <c r="A15" s="70" t="s">
        <v>6</v>
      </c>
      <c r="B15" s="51" t="s">
        <v>6</v>
      </c>
      <c r="C15" s="102" t="s">
        <v>6</v>
      </c>
      <c r="D15" s="103" t="s">
        <v>6</v>
      </c>
      <c r="E15" s="51" t="s">
        <v>6</v>
      </c>
      <c r="F15" s="97">
        <f>+F13+F14</f>
        <v>4719007.83</v>
      </c>
      <c r="G15" s="59">
        <v>87</v>
      </c>
      <c r="H15" s="62">
        <f>+I15+J15</f>
        <v>87332</v>
      </c>
      <c r="I15" s="62">
        <v>81332</v>
      </c>
      <c r="J15" s="62">
        <v>6000</v>
      </c>
      <c r="K15" s="59" t="s">
        <v>6</v>
      </c>
      <c r="L15" s="59"/>
    </row>
    <row r="16" spans="1:12" ht="12.75">
      <c r="A16" s="70">
        <v>5</v>
      </c>
      <c r="B16" s="94" t="s">
        <v>129</v>
      </c>
      <c r="C16" s="102"/>
      <c r="D16" s="103"/>
      <c r="E16" s="94" t="s">
        <v>129</v>
      </c>
      <c r="F16" s="97"/>
      <c r="G16" s="59"/>
      <c r="H16" s="62"/>
      <c r="I16" s="62">
        <v>-129348.01</v>
      </c>
      <c r="J16" s="62"/>
      <c r="K16" s="59">
        <f>-I16</f>
        <v>129348.01</v>
      </c>
      <c r="L16" s="59"/>
    </row>
    <row r="17" spans="1:12" ht="12.75">
      <c r="A17" s="70" t="s">
        <v>6</v>
      </c>
      <c r="B17" s="94" t="s">
        <v>130</v>
      </c>
      <c r="C17" s="102">
        <v>5020</v>
      </c>
      <c r="D17" s="103">
        <v>10027</v>
      </c>
      <c r="E17" s="94" t="s">
        <v>130</v>
      </c>
      <c r="F17" s="97">
        <f>+H17+H18</f>
        <v>5785256.389999999</v>
      </c>
      <c r="G17" s="59">
        <v>5020</v>
      </c>
      <c r="H17" s="62">
        <f>+I17+J17</f>
        <v>5020250.029999999</v>
      </c>
      <c r="I17" s="62">
        <v>2314250.03</v>
      </c>
      <c r="J17" s="62">
        <v>2706000</v>
      </c>
      <c r="K17" s="59" t="s">
        <v>6</v>
      </c>
      <c r="L17" s="59"/>
    </row>
    <row r="18" spans="1:14" ht="12.75">
      <c r="A18" s="70">
        <v>6</v>
      </c>
      <c r="B18" s="94" t="s">
        <v>131</v>
      </c>
      <c r="C18" s="104">
        <v>765</v>
      </c>
      <c r="D18" s="105">
        <v>1013</v>
      </c>
      <c r="E18" s="94" t="s">
        <v>131</v>
      </c>
      <c r="F18" s="97"/>
      <c r="G18" s="59">
        <v>765</v>
      </c>
      <c r="H18" s="62">
        <f>+I18+J18</f>
        <v>765006.3599999999</v>
      </c>
      <c r="I18" s="62">
        <v>5340.74</v>
      </c>
      <c r="J18" s="62">
        <f>3835.17+470.77+5071.29+10264.09+590300.08+149724.22</f>
        <v>759665.6199999999</v>
      </c>
      <c r="K18" s="59" t="s">
        <v>6</v>
      </c>
      <c r="L18" s="59"/>
      <c r="N18" s="48"/>
    </row>
    <row r="19" spans="1:12" ht="12.75">
      <c r="A19" s="70"/>
      <c r="B19" s="94" t="s">
        <v>6</v>
      </c>
      <c r="C19" s="106">
        <f aca="true" t="shared" si="0" ref="C19:J19">SUM(C12:C18)</f>
        <v>32894</v>
      </c>
      <c r="D19" s="106">
        <f t="shared" si="0"/>
        <v>33361</v>
      </c>
      <c r="E19" s="94" t="s">
        <v>6</v>
      </c>
      <c r="F19" s="97"/>
      <c r="G19" s="106">
        <f t="shared" si="0"/>
        <v>32894</v>
      </c>
      <c r="H19" s="106">
        <f t="shared" si="0"/>
        <v>32894579.729999997</v>
      </c>
      <c r="I19" s="106">
        <f t="shared" si="0"/>
        <v>31114669.589999996</v>
      </c>
      <c r="J19" s="106">
        <f t="shared" si="0"/>
        <v>24295491.580000002</v>
      </c>
      <c r="K19" s="59" t="s">
        <v>6</v>
      </c>
      <c r="L19" s="59"/>
    </row>
    <row r="20" spans="1:12" ht="12.75">
      <c r="A20" s="70" t="s">
        <v>6</v>
      </c>
      <c r="B20" s="93" t="s">
        <v>132</v>
      </c>
      <c r="C20" s="95"/>
      <c r="D20" s="96"/>
      <c r="E20" s="93" t="s">
        <v>132</v>
      </c>
      <c r="F20" s="97"/>
      <c r="G20" s="59"/>
      <c r="H20" s="62" t="s">
        <v>6</v>
      </c>
      <c r="I20" s="62" t="s">
        <v>6</v>
      </c>
      <c r="J20" s="62" t="s">
        <v>6</v>
      </c>
      <c r="K20" s="59" t="s">
        <v>6</v>
      </c>
      <c r="L20" s="59"/>
    </row>
    <row r="21" spans="1:12" ht="12.75">
      <c r="A21" s="70">
        <v>7</v>
      </c>
      <c r="B21" s="94" t="s">
        <v>133</v>
      </c>
      <c r="C21" s="107">
        <v>3868</v>
      </c>
      <c r="D21" s="99">
        <v>2998</v>
      </c>
      <c r="E21" s="94" t="s">
        <v>133</v>
      </c>
      <c r="F21" s="97">
        <f>+H21-2998162</f>
        <v>869677.950000003</v>
      </c>
      <c r="G21" s="59">
        <v>3868</v>
      </c>
      <c r="H21" s="62">
        <f>+I21+J21+K21</f>
        <v>3867839.950000003</v>
      </c>
      <c r="I21" s="62">
        <v>1732965.67</v>
      </c>
      <c r="J21" s="62">
        <v>21619992.92</v>
      </c>
      <c r="K21" s="59">
        <v>-19485118.64</v>
      </c>
      <c r="L21" s="59"/>
    </row>
    <row r="22" spans="1:12" ht="12.75">
      <c r="A22" s="70">
        <v>8</v>
      </c>
      <c r="B22" s="94" t="s">
        <v>134</v>
      </c>
      <c r="C22" s="108">
        <v>2409</v>
      </c>
      <c r="D22" s="103">
        <v>2883</v>
      </c>
      <c r="E22" s="94" t="s">
        <v>134</v>
      </c>
      <c r="F22" s="97">
        <f>+H22+H23-2883465</f>
        <v>260068.69999999925</v>
      </c>
      <c r="G22" s="59">
        <v>2409</v>
      </c>
      <c r="H22" s="62">
        <f>+I22+J22+K22</f>
        <v>2409308.1299999994</v>
      </c>
      <c r="I22" s="62">
        <v>3448599.93</v>
      </c>
      <c r="J22" s="62">
        <v>2120519.01</v>
      </c>
      <c r="K22" s="59">
        <v>-3159810.81</v>
      </c>
      <c r="L22" s="59"/>
    </row>
    <row r="23" spans="1:12" ht="12.75">
      <c r="A23" s="70"/>
      <c r="B23" s="109" t="s">
        <v>135</v>
      </c>
      <c r="C23" s="102">
        <v>734</v>
      </c>
      <c r="D23" s="103" t="s">
        <v>6</v>
      </c>
      <c r="E23" s="109" t="s">
        <v>135</v>
      </c>
      <c r="F23" s="97">
        <f>+F21+F22</f>
        <v>1129746.6500000022</v>
      </c>
      <c r="G23" s="59">
        <v>734</v>
      </c>
      <c r="H23" s="62">
        <f>+I23+J23</f>
        <v>734225.57</v>
      </c>
      <c r="I23" s="62">
        <f>372383.67-292.68-969.2</f>
        <v>371121.79</v>
      </c>
      <c r="J23" s="62">
        <f>363427.98-97.68-226.52</f>
        <v>363103.77999999997</v>
      </c>
      <c r="K23" s="59" t="s">
        <v>6</v>
      </c>
      <c r="L23" s="59"/>
    </row>
    <row r="24" spans="1:12" ht="12.75">
      <c r="A24" s="70"/>
      <c r="B24" s="94" t="s">
        <v>6</v>
      </c>
      <c r="C24" s="102" t="s">
        <v>6</v>
      </c>
      <c r="D24" s="103" t="s">
        <v>6</v>
      </c>
      <c r="E24" s="94" t="s">
        <v>6</v>
      </c>
      <c r="F24" s="97"/>
      <c r="G24" s="59">
        <v>0</v>
      </c>
      <c r="H24" s="62">
        <f>+I24+J24+K24</f>
        <v>0</v>
      </c>
      <c r="I24" s="62">
        <v>0</v>
      </c>
      <c r="J24" s="62">
        <v>-129348.01</v>
      </c>
      <c r="K24" s="59">
        <f>+K16</f>
        <v>129348.01</v>
      </c>
      <c r="L24" s="59"/>
    </row>
    <row r="25" spans="1:12" ht="12.75">
      <c r="A25" s="70">
        <v>9</v>
      </c>
      <c r="B25" s="94" t="s">
        <v>136</v>
      </c>
      <c r="C25" s="102">
        <v>31</v>
      </c>
      <c r="D25" s="101">
        <v>25</v>
      </c>
      <c r="E25" s="94" t="s">
        <v>136</v>
      </c>
      <c r="F25" s="97"/>
      <c r="G25" s="59">
        <v>31</v>
      </c>
      <c r="H25" s="62">
        <v>31000</v>
      </c>
      <c r="I25" s="62">
        <v>89000</v>
      </c>
      <c r="J25" s="62">
        <v>440000</v>
      </c>
      <c r="K25" s="59">
        <v>-529000</v>
      </c>
      <c r="L25" s="62" t="s">
        <v>6</v>
      </c>
    </row>
    <row r="26" spans="1:12" ht="12.75">
      <c r="A26" s="70">
        <v>10</v>
      </c>
      <c r="B26" s="94" t="s">
        <v>137</v>
      </c>
      <c r="C26" s="110">
        <v>760</v>
      </c>
      <c r="D26" s="111">
        <v>760</v>
      </c>
      <c r="E26" s="94" t="s">
        <v>137</v>
      </c>
      <c r="F26" s="97"/>
      <c r="G26" s="59">
        <v>760</v>
      </c>
      <c r="H26" s="62">
        <f>+I26+J26+K26</f>
        <v>760000</v>
      </c>
      <c r="I26" s="62">
        <v>0</v>
      </c>
      <c r="J26" s="62">
        <v>0</v>
      </c>
      <c r="K26" s="59">
        <v>760000</v>
      </c>
      <c r="L26" s="59"/>
    </row>
    <row r="27" spans="1:12" ht="12.75">
      <c r="A27" s="70"/>
      <c r="B27" s="94"/>
      <c r="C27" s="96">
        <f aca="true" t="shared" si="1" ref="C27:J27">SUM(C21:C26)</f>
        <v>7802</v>
      </c>
      <c r="D27" s="96">
        <f t="shared" si="1"/>
        <v>6666</v>
      </c>
      <c r="E27" s="94"/>
      <c r="F27" s="97"/>
      <c r="G27" s="96">
        <f t="shared" si="1"/>
        <v>7802</v>
      </c>
      <c r="H27" s="96">
        <f t="shared" si="1"/>
        <v>7802373.650000002</v>
      </c>
      <c r="I27" s="96">
        <f t="shared" si="1"/>
        <v>5641687.39</v>
      </c>
      <c r="J27" s="96">
        <f t="shared" si="1"/>
        <v>24414267.7</v>
      </c>
      <c r="K27" s="59" t="s">
        <v>6</v>
      </c>
      <c r="L27" s="59"/>
    </row>
    <row r="28" spans="1:12" ht="12.75">
      <c r="A28" s="70"/>
      <c r="B28" s="93" t="s">
        <v>138</v>
      </c>
      <c r="C28" s="95">
        <f aca="true" t="shared" si="2" ref="C28:H28">+C19-C27</f>
        <v>25092</v>
      </c>
      <c r="D28" s="95">
        <f t="shared" si="2"/>
        <v>26695</v>
      </c>
      <c r="E28" s="93" t="s">
        <v>138</v>
      </c>
      <c r="F28" s="97"/>
      <c r="G28" s="95">
        <f t="shared" si="2"/>
        <v>25092</v>
      </c>
      <c r="H28" s="95">
        <f t="shared" si="2"/>
        <v>25092206.079999994</v>
      </c>
      <c r="I28" s="62" t="s">
        <v>6</v>
      </c>
      <c r="J28" s="62" t="s">
        <v>6</v>
      </c>
      <c r="K28" s="59" t="s">
        <v>6</v>
      </c>
      <c r="L28" s="59"/>
    </row>
    <row r="29" spans="1:12" ht="13.5" thickBot="1">
      <c r="A29" s="70" t="s">
        <v>6</v>
      </c>
      <c r="C29" s="112">
        <f aca="true" t="shared" si="3" ref="C29:H29">+C28+C9</f>
        <v>49576</v>
      </c>
      <c r="D29" s="112">
        <f t="shared" si="3"/>
        <v>51645</v>
      </c>
      <c r="F29" s="97"/>
      <c r="G29" s="112">
        <f t="shared" si="3"/>
        <v>49576</v>
      </c>
      <c r="H29" s="112">
        <f t="shared" si="3"/>
        <v>49576091.36999999</v>
      </c>
      <c r="I29" s="62" t="s">
        <v>6</v>
      </c>
      <c r="J29" s="62" t="s">
        <v>6</v>
      </c>
      <c r="K29" s="59" t="s">
        <v>6</v>
      </c>
      <c r="L29" s="59"/>
    </row>
    <row r="30" spans="1:12" ht="13.5" thickTop="1">
      <c r="A30" s="70" t="s">
        <v>6</v>
      </c>
      <c r="B30" s="93" t="s">
        <v>139</v>
      </c>
      <c r="C30" s="95"/>
      <c r="D30" s="96"/>
      <c r="E30" s="93" t="s">
        <v>139</v>
      </c>
      <c r="F30" s="97" t="s">
        <v>6</v>
      </c>
      <c r="G30" s="59"/>
      <c r="H30" s="62" t="s">
        <v>6</v>
      </c>
      <c r="I30" s="62" t="s">
        <v>6</v>
      </c>
      <c r="J30" s="62" t="s">
        <v>6</v>
      </c>
      <c r="K30" s="59" t="s">
        <v>6</v>
      </c>
      <c r="L30" s="59"/>
    </row>
    <row r="31" spans="1:12" ht="12.75">
      <c r="A31" s="70">
        <v>11</v>
      </c>
      <c r="B31" s="94" t="s">
        <v>140</v>
      </c>
      <c r="C31" s="95">
        <v>20250</v>
      </c>
      <c r="D31" s="96">
        <v>20250</v>
      </c>
      <c r="E31" s="94" t="s">
        <v>140</v>
      </c>
      <c r="F31" s="97" t="s">
        <v>6</v>
      </c>
      <c r="G31" s="59">
        <v>20250</v>
      </c>
      <c r="H31" s="62">
        <f>+I31+J31+K31</f>
        <v>20250000</v>
      </c>
      <c r="I31" s="62">
        <v>20250000</v>
      </c>
      <c r="J31" s="62">
        <v>5000002</v>
      </c>
      <c r="K31" s="59">
        <v>-5000002</v>
      </c>
      <c r="L31" s="59"/>
    </row>
    <row r="32" spans="1:12" ht="12.75">
      <c r="A32" s="70">
        <v>12</v>
      </c>
      <c r="B32" s="94" t="s">
        <v>141</v>
      </c>
      <c r="C32" s="95">
        <v>5937</v>
      </c>
      <c r="D32" s="96">
        <v>5937</v>
      </c>
      <c r="E32" s="94" t="s">
        <v>141</v>
      </c>
      <c r="F32" s="97"/>
      <c r="G32" s="95">
        <v>5937</v>
      </c>
      <c r="H32" s="62">
        <f>+I32+J32</f>
        <v>5936954.2</v>
      </c>
      <c r="I32" s="62">
        <v>5936954.2</v>
      </c>
      <c r="J32" s="62">
        <v>0</v>
      </c>
      <c r="K32" s="59" t="s">
        <v>6</v>
      </c>
      <c r="L32" s="59"/>
    </row>
    <row r="33" spans="1:12" ht="12.75">
      <c r="A33" s="70">
        <v>13</v>
      </c>
      <c r="B33" s="113" t="s">
        <v>142</v>
      </c>
      <c r="C33" s="95">
        <v>2629</v>
      </c>
      <c r="D33" s="96">
        <v>2629</v>
      </c>
      <c r="E33" s="113" t="s">
        <v>142</v>
      </c>
      <c r="F33" s="97"/>
      <c r="G33" s="95">
        <v>2629</v>
      </c>
      <c r="H33" s="62">
        <f>+I33+J33</f>
        <v>2628729.7</v>
      </c>
      <c r="I33" s="59">
        <v>2628729.7</v>
      </c>
      <c r="J33" s="62">
        <v>0</v>
      </c>
      <c r="K33" s="59" t="s">
        <v>116</v>
      </c>
      <c r="L33" s="59"/>
    </row>
    <row r="34" spans="1:12" ht="12.75">
      <c r="A34" s="70">
        <v>14</v>
      </c>
      <c r="B34" s="94" t="s">
        <v>143</v>
      </c>
      <c r="C34" s="114">
        <v>18819</v>
      </c>
      <c r="D34" s="115">
        <f>20628-343</f>
        <v>20285</v>
      </c>
      <c r="E34" s="94" t="s">
        <v>143</v>
      </c>
      <c r="F34" s="97"/>
      <c r="G34" s="114">
        <v>18819</v>
      </c>
      <c r="H34" s="62">
        <f>+I34+J34+K34</f>
        <v>18819052.81</v>
      </c>
      <c r="I34" s="62">
        <f>19259560.47-2025000-776004.75</f>
        <v>16458555.719999999</v>
      </c>
      <c r="J34" s="62">
        <f>1025684.42+1365812.67</f>
        <v>2391497.09</v>
      </c>
      <c r="K34" s="59">
        <v>-31000</v>
      </c>
      <c r="L34" s="59"/>
    </row>
    <row r="35" spans="1:12" ht="12.75">
      <c r="A35" s="70"/>
      <c r="B35" s="93" t="s">
        <v>6</v>
      </c>
      <c r="C35" s="116">
        <f>SUM(C31:C34)</f>
        <v>47635</v>
      </c>
      <c r="D35" s="116">
        <f>SUM(D31:D34)</f>
        <v>49101</v>
      </c>
      <c r="E35" s="93" t="s">
        <v>6</v>
      </c>
      <c r="F35" s="117" t="s">
        <v>6</v>
      </c>
      <c r="G35" s="116">
        <f>SUM(G31:G34)</f>
        <v>47635</v>
      </c>
      <c r="H35" s="116">
        <f>SUM(H31:H34)</f>
        <v>47634736.70999999</v>
      </c>
      <c r="I35" s="62" t="s">
        <v>6</v>
      </c>
      <c r="J35" s="62" t="s">
        <v>6</v>
      </c>
      <c r="K35" s="59">
        <f>21432061.92-2564983.75</f>
        <v>18867078.17</v>
      </c>
      <c r="L35" s="59"/>
    </row>
    <row r="36" spans="1:12" ht="12.75">
      <c r="A36" s="70" t="s">
        <v>6</v>
      </c>
      <c r="B36" s="93" t="s">
        <v>144</v>
      </c>
      <c r="C36" s="114" t="s">
        <v>6</v>
      </c>
      <c r="D36" s="115" t="s">
        <v>6</v>
      </c>
      <c r="E36" s="93" t="s">
        <v>144</v>
      </c>
      <c r="F36" s="97"/>
      <c r="G36" s="114" t="s">
        <v>6</v>
      </c>
      <c r="H36" s="62" t="s">
        <v>6</v>
      </c>
      <c r="I36" s="62" t="s">
        <v>6</v>
      </c>
      <c r="J36" s="62" t="s">
        <v>6</v>
      </c>
      <c r="K36" s="59" t="s">
        <v>6</v>
      </c>
      <c r="L36" s="59"/>
    </row>
    <row r="37" spans="1:12" ht="12.75">
      <c r="A37" s="70">
        <v>15</v>
      </c>
      <c r="B37" s="94" t="s">
        <v>145</v>
      </c>
      <c r="C37" s="114">
        <v>1412</v>
      </c>
      <c r="D37" s="115">
        <v>2015</v>
      </c>
      <c r="E37" s="94" t="s">
        <v>145</v>
      </c>
      <c r="F37" s="97" t="s">
        <v>6</v>
      </c>
      <c r="G37" s="114">
        <v>1412</v>
      </c>
      <c r="H37" s="62">
        <f>+I37+J37+K37</f>
        <v>1412354.9900000002</v>
      </c>
      <c r="I37" s="62">
        <v>0</v>
      </c>
      <c r="J37" s="62">
        <v>2172354.99</v>
      </c>
      <c r="K37" s="59">
        <v>-760000</v>
      </c>
      <c r="L37" s="59"/>
    </row>
    <row r="38" spans="1:12" ht="12.75">
      <c r="A38" s="70">
        <v>16</v>
      </c>
      <c r="B38" s="118" t="s">
        <v>146</v>
      </c>
      <c r="C38" s="95">
        <v>529</v>
      </c>
      <c r="D38" s="96">
        <v>529</v>
      </c>
      <c r="E38" s="118" t="s">
        <v>146</v>
      </c>
      <c r="F38" s="97"/>
      <c r="G38" s="95">
        <v>529</v>
      </c>
      <c r="H38" s="62">
        <f>+I38+J38+K38</f>
        <v>529000</v>
      </c>
      <c r="I38" s="62">
        <v>0</v>
      </c>
      <c r="J38" s="62">
        <v>0</v>
      </c>
      <c r="K38" s="59">
        <v>529000</v>
      </c>
      <c r="L38" s="59"/>
    </row>
    <row r="39" spans="1:12" ht="13.5" thickBot="1">
      <c r="A39" s="70"/>
      <c r="B39" s="118"/>
      <c r="C39" s="119">
        <f aca="true" t="shared" si="4" ref="C39:H39">C38+C37+C35</f>
        <v>49576</v>
      </c>
      <c r="D39" s="119">
        <f t="shared" si="4"/>
        <v>51645</v>
      </c>
      <c r="E39" s="95"/>
      <c r="F39" s="97"/>
      <c r="G39" s="119">
        <f t="shared" si="4"/>
        <v>49576</v>
      </c>
      <c r="H39" s="119">
        <f t="shared" si="4"/>
        <v>49576091.699999996</v>
      </c>
      <c r="I39" s="62" t="s">
        <v>6</v>
      </c>
      <c r="J39" s="62" t="s">
        <v>6</v>
      </c>
      <c r="K39" s="59" t="s">
        <v>116</v>
      </c>
      <c r="L39" s="59"/>
    </row>
    <row r="40" spans="1:12" ht="13.5" thickTop="1">
      <c r="A40" s="70"/>
      <c r="B40" s="118"/>
      <c r="C40" s="95"/>
      <c r="D40" s="96"/>
      <c r="E40" s="96"/>
      <c r="F40" s="97"/>
      <c r="G40" s="59"/>
      <c r="H40" s="62" t="s">
        <v>6</v>
      </c>
      <c r="I40" s="62" t="s">
        <v>6</v>
      </c>
      <c r="J40" s="62" t="s">
        <v>6</v>
      </c>
      <c r="K40" s="59" t="s">
        <v>6</v>
      </c>
      <c r="L40" s="59"/>
    </row>
    <row r="41" spans="1:12" ht="13.5" thickBot="1">
      <c r="A41" s="70">
        <v>17</v>
      </c>
      <c r="B41" s="118" t="s">
        <v>147</v>
      </c>
      <c r="C41" s="120">
        <f>+C35/20250</f>
        <v>2.3523456790123456</v>
      </c>
      <c r="D41" s="120">
        <f>+D35/20250</f>
        <v>2.4247407407407406</v>
      </c>
      <c r="E41" s="121"/>
      <c r="F41" s="97" t="s">
        <v>6</v>
      </c>
      <c r="G41" s="59">
        <f>+G39-G29</f>
        <v>0</v>
      </c>
      <c r="H41" s="62" t="s">
        <v>6</v>
      </c>
      <c r="I41" s="62" t="s">
        <v>6</v>
      </c>
      <c r="J41" s="62" t="s">
        <v>6</v>
      </c>
      <c r="K41" s="59" t="s">
        <v>6</v>
      </c>
      <c r="L41" s="59"/>
    </row>
    <row r="42" spans="1:12" ht="13.5" thickTop="1">
      <c r="A42" s="70"/>
      <c r="B42" s="94" t="s">
        <v>148</v>
      </c>
      <c r="C42" s="114" t="s">
        <v>6</v>
      </c>
      <c r="D42" s="122" t="s">
        <v>6</v>
      </c>
      <c r="E42" s="122"/>
      <c r="F42" s="97"/>
      <c r="G42" s="59"/>
      <c r="H42" s="62" t="s">
        <v>6</v>
      </c>
      <c r="I42" s="62" t="s">
        <v>6</v>
      </c>
      <c r="J42" s="62" t="s">
        <v>6</v>
      </c>
      <c r="K42" s="59" t="s">
        <v>6</v>
      </c>
      <c r="L42" s="59"/>
    </row>
    <row r="43" spans="1:12" ht="12.75">
      <c r="A43" s="123" t="s">
        <v>149</v>
      </c>
      <c r="C43" s="97"/>
      <c r="D43" s="97"/>
      <c r="E43" s="97"/>
      <c r="F43" s="59"/>
      <c r="G43" s="59"/>
      <c r="H43" s="62" t="s">
        <v>238</v>
      </c>
      <c r="I43" s="59">
        <f>SUM(I31:I42)</f>
        <v>45274239.62</v>
      </c>
      <c r="J43" s="59">
        <f>SUM(J31:J42)</f>
        <v>9563854.08</v>
      </c>
      <c r="K43" s="59"/>
      <c r="L43" s="59"/>
    </row>
    <row r="44" spans="1:12" ht="12.75">
      <c r="A44" s="123" t="s">
        <v>283</v>
      </c>
      <c r="B44" s="70"/>
      <c r="C44" s="97"/>
      <c r="D44" s="97"/>
      <c r="E44" s="97"/>
      <c r="F44" s="59"/>
      <c r="G44" s="59"/>
      <c r="I44" s="59">
        <f>SUM(I9+I19+I10-I27)</f>
        <v>45274239.28999999</v>
      </c>
      <c r="J44" s="59">
        <f>SUM(J9+J19+J10-J27)</f>
        <v>9563854.080000002</v>
      </c>
      <c r="K44" s="59"/>
      <c r="L44" s="59"/>
    </row>
    <row r="45" spans="1:12" ht="12.75">
      <c r="A45" s="70"/>
      <c r="B45" s="70"/>
      <c r="F45" s="59"/>
      <c r="G45" s="59"/>
      <c r="J45" s="59"/>
      <c r="K45" s="59"/>
      <c r="L45" s="59"/>
    </row>
    <row r="46" spans="6:12" ht="12.75">
      <c r="F46" s="59"/>
      <c r="G46" s="59"/>
      <c r="J46" s="59"/>
      <c r="K46" s="59"/>
      <c r="L46" s="59"/>
    </row>
    <row r="47" spans="6:12" ht="12.75">
      <c r="F47" s="59"/>
      <c r="G47" s="59"/>
      <c r="J47" s="59"/>
      <c r="K47" s="59"/>
      <c r="L47" s="59"/>
    </row>
    <row r="48" spans="6:12" ht="12.75">
      <c r="F48" s="59"/>
      <c r="G48" s="59"/>
      <c r="J48" s="59"/>
      <c r="K48" s="59">
        <f>SUM(K10:K47)</f>
        <v>-36195088.71</v>
      </c>
      <c r="L48" s="59"/>
    </row>
    <row r="49" spans="6:12" ht="12.75">
      <c r="F49" s="59"/>
      <c r="G49" s="59"/>
      <c r="J49" s="59"/>
      <c r="K49" s="59"/>
      <c r="L49" s="59"/>
    </row>
    <row r="50" spans="6:12" ht="12.75">
      <c r="F50" s="59"/>
      <c r="G50" s="59"/>
      <c r="J50" s="59"/>
      <c r="K50" s="59"/>
      <c r="L50" s="59"/>
    </row>
    <row r="51" spans="6:12" ht="12.75">
      <c r="F51" s="59"/>
      <c r="G51" s="59"/>
      <c r="J51" s="59"/>
      <c r="K51" s="59"/>
      <c r="L51" s="59"/>
    </row>
    <row r="52" spans="8:9" ht="12.75">
      <c r="H52" s="51"/>
      <c r="I52" s="51"/>
    </row>
    <row r="53" spans="8:9" ht="12.75">
      <c r="H53" s="51"/>
      <c r="I53" s="51"/>
    </row>
    <row r="54" spans="8:9" ht="12.75">
      <c r="H54" s="51"/>
      <c r="I54" s="51"/>
    </row>
    <row r="55" spans="8:9" ht="12.75">
      <c r="H55" s="51"/>
      <c r="I55" s="51"/>
    </row>
    <row r="56" spans="8:9" ht="12.75">
      <c r="H56" s="51"/>
      <c r="I56" s="51"/>
    </row>
    <row r="57" spans="8:9" ht="12.75">
      <c r="H57" s="51"/>
      <c r="I57" s="51"/>
    </row>
    <row r="58" spans="8:9" ht="12.75">
      <c r="H58" s="51"/>
      <c r="I58" s="51"/>
    </row>
    <row r="59" spans="8:9" ht="12.75">
      <c r="H59" s="51"/>
      <c r="I59" s="51"/>
    </row>
    <row r="60" spans="8:9" ht="12.75">
      <c r="H60" s="51"/>
      <c r="I60" s="51"/>
    </row>
    <row r="61" spans="8:9" ht="12.75">
      <c r="H61" s="51"/>
      <c r="I61" s="51"/>
    </row>
    <row r="62" spans="8:9" ht="12.75">
      <c r="H62" s="51"/>
      <c r="I62" s="51"/>
    </row>
    <row r="63" spans="8:9" ht="12.75">
      <c r="H63" s="51"/>
      <c r="I63" s="51"/>
    </row>
    <row r="64" spans="8:9" ht="12.75">
      <c r="H64" s="51"/>
      <c r="I64" s="51"/>
    </row>
    <row r="65" spans="8:9" ht="12.75">
      <c r="H65" s="51"/>
      <c r="I65" s="51"/>
    </row>
    <row r="66" spans="8:9" ht="12.75">
      <c r="H66" s="51"/>
      <c r="I66" s="51"/>
    </row>
    <row r="67" spans="8:9" ht="12.75">
      <c r="H67" s="51"/>
      <c r="I67" s="51"/>
    </row>
    <row r="68" spans="8:9" ht="12.75">
      <c r="H68" s="51"/>
      <c r="I68" s="51"/>
    </row>
    <row r="69" spans="8:9" ht="12.75">
      <c r="H69" s="51"/>
      <c r="I69" s="51"/>
    </row>
    <row r="70" spans="8:9" ht="12.75">
      <c r="H70" s="51"/>
      <c r="I70" s="51"/>
    </row>
    <row r="71" spans="8:9" ht="12.75">
      <c r="H71" s="51"/>
      <c r="I71" s="51"/>
    </row>
    <row r="72" spans="8:9" ht="12.75">
      <c r="H72" s="51"/>
      <c r="I72" s="51"/>
    </row>
    <row r="73" spans="8:9" ht="12.75">
      <c r="H73" s="51"/>
      <c r="I73" s="51"/>
    </row>
    <row r="74" spans="8:9" ht="12.75">
      <c r="H74" s="51"/>
      <c r="I74" s="51"/>
    </row>
    <row r="75" spans="8:9" ht="12.75">
      <c r="H75" s="51"/>
      <c r="I75" s="51"/>
    </row>
    <row r="76" spans="8:9" ht="12.75">
      <c r="H76" s="51"/>
      <c r="I76" s="51"/>
    </row>
    <row r="77" spans="8:9" ht="12.75">
      <c r="H77" s="51"/>
      <c r="I77" s="51"/>
    </row>
    <row r="78" spans="8:9" ht="12.75">
      <c r="H78" s="51"/>
      <c r="I78" s="51"/>
    </row>
    <row r="79" spans="8:9" ht="12.75">
      <c r="H79" s="51"/>
      <c r="I79" s="51"/>
    </row>
    <row r="80" spans="8:9" ht="12.75">
      <c r="H80" s="51"/>
      <c r="I80" s="51"/>
    </row>
    <row r="81" spans="8:9" ht="12.75">
      <c r="H81" s="51"/>
      <c r="I81" s="51"/>
    </row>
    <row r="82" spans="8:9" ht="12.75">
      <c r="H82" s="51"/>
      <c r="I82" s="51"/>
    </row>
    <row r="83" spans="8:9" ht="12.75">
      <c r="H83" s="51"/>
      <c r="I83" s="51"/>
    </row>
    <row r="84" spans="8:9" ht="12.75">
      <c r="H84" s="51"/>
      <c r="I84" s="51"/>
    </row>
    <row r="85" spans="8:9" ht="12.75">
      <c r="H85" s="51"/>
      <c r="I85" s="51"/>
    </row>
    <row r="86" spans="8:9" ht="12.75">
      <c r="H86" s="51"/>
      <c r="I86" s="51"/>
    </row>
    <row r="87" spans="8:9" ht="12.75">
      <c r="H87" s="51"/>
      <c r="I87" s="51"/>
    </row>
    <row r="88" spans="8:9" ht="12.75">
      <c r="H88" s="51"/>
      <c r="I88" s="51"/>
    </row>
    <row r="89" spans="8:9" ht="12.75">
      <c r="H89" s="51"/>
      <c r="I89" s="51"/>
    </row>
    <row r="90" spans="8:9" ht="12.75">
      <c r="H90" s="51"/>
      <c r="I90" s="51"/>
    </row>
    <row r="91" spans="8:9" ht="12.75">
      <c r="H91" s="51"/>
      <c r="I91" s="51"/>
    </row>
    <row r="92" spans="8:9" ht="12.75">
      <c r="H92" s="51"/>
      <c r="I92" s="51"/>
    </row>
    <row r="93" spans="8:9" ht="12.75">
      <c r="H93" s="51"/>
      <c r="I93" s="51"/>
    </row>
    <row r="94" spans="8:9" ht="12.75">
      <c r="H94" s="51"/>
      <c r="I94" s="51"/>
    </row>
    <row r="95" spans="8:9" ht="12.75">
      <c r="H95" s="51"/>
      <c r="I95" s="51"/>
    </row>
    <row r="96" spans="8:9" ht="12.75">
      <c r="H96" s="51"/>
      <c r="I96" s="51"/>
    </row>
    <row r="97" spans="8:9" ht="12.75">
      <c r="H97" s="51"/>
      <c r="I97" s="51"/>
    </row>
    <row r="98" spans="8:9" ht="12.75">
      <c r="H98" s="51"/>
      <c r="I98" s="51"/>
    </row>
    <row r="99" spans="8:9" ht="12.75">
      <c r="H99" s="51"/>
      <c r="I99" s="51"/>
    </row>
    <row r="100" spans="8:9" ht="12.75">
      <c r="H100" s="51"/>
      <c r="I100" s="51"/>
    </row>
    <row r="101" spans="8:9" ht="12.75">
      <c r="H101" s="51"/>
      <c r="I101" s="51"/>
    </row>
    <row r="102" spans="8:9" ht="12.75">
      <c r="H102" s="51"/>
      <c r="I102" s="51"/>
    </row>
    <row r="103" spans="8:9" ht="12.75">
      <c r="H103" s="51"/>
      <c r="I103" s="51"/>
    </row>
    <row r="104" spans="8:9" ht="12.75">
      <c r="H104" s="51"/>
      <c r="I104" s="51"/>
    </row>
    <row r="105" spans="8:9" ht="12.75">
      <c r="H105" s="51"/>
      <c r="I105" s="51"/>
    </row>
    <row r="106" spans="8:9" ht="12.75">
      <c r="H106" s="51"/>
      <c r="I106" s="51"/>
    </row>
    <row r="107" spans="8:9" ht="12.75">
      <c r="H107" s="51"/>
      <c r="I107" s="51"/>
    </row>
    <row r="108" spans="8:9" ht="12.75">
      <c r="H108" s="51"/>
      <c r="I108" s="51"/>
    </row>
    <row r="109" spans="8:9" ht="12.75">
      <c r="H109" s="51"/>
      <c r="I109" s="51"/>
    </row>
    <row r="110" spans="8:9" ht="12.75">
      <c r="H110" s="51"/>
      <c r="I110" s="51"/>
    </row>
    <row r="111" spans="8:9" ht="12.75">
      <c r="H111" s="51"/>
      <c r="I111" s="51"/>
    </row>
    <row r="112" spans="8:9" ht="12.75">
      <c r="H112" s="51"/>
      <c r="I112" s="51"/>
    </row>
  </sheetData>
  <printOptions/>
  <pageMargins left="0.5" right="0.5" top="1" bottom="1" header="0.5" footer="0.5"/>
  <pageSetup horizontalDpi="180" verticalDpi="180" orientation="portrait" r:id="rId3"/>
  <headerFooter alignWithMargins="0">
    <oddHeader>&amp;C&amp;A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3"/>
  <sheetViews>
    <sheetView workbookViewId="0" topLeftCell="A1">
      <selection activeCell="F59" sqref="F59"/>
    </sheetView>
  </sheetViews>
  <sheetFormatPr defaultColWidth="9.140625" defaultRowHeight="12.75"/>
  <cols>
    <col min="1" max="2" width="9.140625" style="12" customWidth="1"/>
    <col min="3" max="3" width="11.7109375" style="12" customWidth="1"/>
    <col min="4" max="4" width="12.00390625" style="12" customWidth="1"/>
    <col min="5" max="5" width="3.00390625" style="12" hidden="1" customWidth="1"/>
    <col min="6" max="6" width="9.140625" style="12" customWidth="1"/>
    <col min="7" max="7" width="17.28125" style="12" customWidth="1"/>
    <col min="8" max="8" width="9.140625" style="12" customWidth="1"/>
    <col min="9" max="9" width="13.8515625" style="12" customWidth="1"/>
    <col min="10" max="16384" width="9.140625" style="12" customWidth="1"/>
  </cols>
  <sheetData>
    <row r="1" spans="1:3" ht="18">
      <c r="A1"/>
      <c r="B1" s="1" t="s">
        <v>150</v>
      </c>
      <c r="C1"/>
    </row>
    <row r="2" spans="1:3" ht="12.75">
      <c r="A2"/>
      <c r="C2" s="3" t="s">
        <v>151</v>
      </c>
    </row>
    <row r="3" spans="1:3" ht="12.75">
      <c r="A3"/>
      <c r="C3" s="3" t="s">
        <v>152</v>
      </c>
    </row>
    <row r="4" spans="1:3" ht="12.75">
      <c r="A4"/>
      <c r="B4" s="3" t="s">
        <v>284</v>
      </c>
      <c r="C4" s="3"/>
    </row>
    <row r="5" spans="1:3" ht="12.75">
      <c r="A5"/>
      <c r="C5" s="3"/>
    </row>
    <row r="6" ht="12.75">
      <c r="A6" s="8" t="s">
        <v>153</v>
      </c>
    </row>
    <row r="8" ht="12.75">
      <c r="A8" s="12" t="s">
        <v>154</v>
      </c>
    </row>
    <row r="10" ht="12.75">
      <c r="A10" s="13" t="s">
        <v>155</v>
      </c>
    </row>
    <row r="11" ht="12.75">
      <c r="A11" s="12" t="s">
        <v>156</v>
      </c>
    </row>
    <row r="12" ht="12.75">
      <c r="A12" s="13" t="s">
        <v>157</v>
      </c>
    </row>
    <row r="13" ht="12.75">
      <c r="A13" s="13" t="s">
        <v>285</v>
      </c>
    </row>
    <row r="14" ht="12.75">
      <c r="A14" s="12" t="s">
        <v>286</v>
      </c>
    </row>
    <row r="15" ht="12.75">
      <c r="A15" s="12" t="s">
        <v>302</v>
      </c>
    </row>
    <row r="16" ht="12.75">
      <c r="A16" s="12" t="s">
        <v>6</v>
      </c>
    </row>
    <row r="17" ht="12.75">
      <c r="A17" s="12" t="s">
        <v>158</v>
      </c>
    </row>
    <row r="19" ht="12.75">
      <c r="A19" s="13" t="s">
        <v>255</v>
      </c>
    </row>
    <row r="21" ht="12.75">
      <c r="A21" s="12" t="s">
        <v>159</v>
      </c>
    </row>
    <row r="22" ht="12.75">
      <c r="A22" s="12" t="s">
        <v>148</v>
      </c>
    </row>
    <row r="23" ht="12.75">
      <c r="A23" s="12" t="s">
        <v>256</v>
      </c>
    </row>
    <row r="25" ht="12.75">
      <c r="A25" s="12" t="s">
        <v>160</v>
      </c>
    </row>
    <row r="27" ht="12.75">
      <c r="A27" s="12" t="s">
        <v>254</v>
      </c>
    </row>
    <row r="28" ht="12.75">
      <c r="A28" s="12" t="s">
        <v>6</v>
      </c>
    </row>
    <row r="29" ht="12.75">
      <c r="A29" s="13" t="s">
        <v>161</v>
      </c>
    </row>
    <row r="31" ht="12.75">
      <c r="A31" s="13" t="s">
        <v>162</v>
      </c>
    </row>
    <row r="33" ht="12.75">
      <c r="A33" s="12" t="s">
        <v>163</v>
      </c>
    </row>
    <row r="35" ht="12.75">
      <c r="A35" s="12" t="s">
        <v>164</v>
      </c>
    </row>
    <row r="36" ht="12.75">
      <c r="A36" s="13" t="s">
        <v>165</v>
      </c>
    </row>
    <row r="38" spans="1:8" ht="12.75">
      <c r="A38" s="12" t="s">
        <v>287</v>
      </c>
      <c r="F38" s="3" t="s">
        <v>6</v>
      </c>
      <c r="H38" s="3" t="s">
        <v>6</v>
      </c>
    </row>
    <row r="39" spans="6:8" ht="12.75">
      <c r="F39" s="3" t="s">
        <v>6</v>
      </c>
      <c r="H39" s="3" t="s">
        <v>6</v>
      </c>
    </row>
    <row r="40" ht="12.75">
      <c r="A40" s="12" t="s">
        <v>288</v>
      </c>
    </row>
    <row r="41" ht="12.75">
      <c r="A41" s="12" t="s">
        <v>289</v>
      </c>
    </row>
    <row r="42" ht="12.75">
      <c r="A42" s="12" t="s">
        <v>290</v>
      </c>
    </row>
    <row r="43" ht="12.75">
      <c r="A43" s="12" t="s">
        <v>291</v>
      </c>
    </row>
    <row r="45" ht="12.75">
      <c r="A45" s="12" t="s">
        <v>166</v>
      </c>
    </row>
    <row r="46" ht="12.75">
      <c r="A46" s="12" t="s">
        <v>167</v>
      </c>
    </row>
    <row r="47" ht="12.75">
      <c r="A47" s="12" t="s">
        <v>168</v>
      </c>
    </row>
    <row r="48" ht="12.75">
      <c r="A48" s="12" t="s">
        <v>169</v>
      </c>
    </row>
    <row r="50" ht="12.75">
      <c r="A50" s="12" t="s">
        <v>170</v>
      </c>
    </row>
    <row r="52" ht="12.75">
      <c r="A52" s="12" t="s">
        <v>171</v>
      </c>
    </row>
    <row r="53" ht="12.75">
      <c r="A53" s="12" t="s">
        <v>172</v>
      </c>
    </row>
    <row r="55" ht="12.75">
      <c r="A55" s="12" t="s">
        <v>173</v>
      </c>
    </row>
    <row r="56" ht="12.75">
      <c r="A56" s="12" t="s">
        <v>167</v>
      </c>
    </row>
    <row r="57" ht="12.75">
      <c r="A57" s="12" t="s">
        <v>174</v>
      </c>
    </row>
    <row r="58" ht="12.75">
      <c r="A58" s="12" t="s">
        <v>175</v>
      </c>
    </row>
    <row r="60" ht="12.75">
      <c r="A60" s="12" t="s">
        <v>176</v>
      </c>
    </row>
    <row r="61" ht="12.75">
      <c r="A61" s="12" t="s">
        <v>167</v>
      </c>
    </row>
    <row r="62" ht="12.75">
      <c r="A62" s="12" t="s">
        <v>253</v>
      </c>
    </row>
    <row r="64" ht="12.75">
      <c r="A64" s="12" t="s">
        <v>177</v>
      </c>
    </row>
    <row r="65" ht="12.75">
      <c r="A65" s="12" t="s">
        <v>167</v>
      </c>
    </row>
    <row r="66" ht="12.75">
      <c r="A66" s="12" t="s">
        <v>251</v>
      </c>
    </row>
    <row r="67" ht="12.75">
      <c r="A67" s="13" t="s">
        <v>252</v>
      </c>
    </row>
    <row r="69" ht="12.75">
      <c r="A69" s="12" t="s">
        <v>178</v>
      </c>
    </row>
    <row r="71" ht="12.75">
      <c r="A71" s="12" t="s">
        <v>303</v>
      </c>
    </row>
    <row r="72" ht="12.75">
      <c r="A72" s="12" t="s">
        <v>6</v>
      </c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</sheetData>
  <printOptions/>
  <pageMargins left="0.75" right="0.75" top="1" bottom="1" header="0.5" footer="0.5"/>
  <pageSetup horizontalDpi="180" verticalDpi="180" orientation="portrait" scale="98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45"/>
  <sheetViews>
    <sheetView tabSelected="1" workbookViewId="0" topLeftCell="A111">
      <selection activeCell="A135" sqref="A135"/>
    </sheetView>
  </sheetViews>
  <sheetFormatPr defaultColWidth="9.140625" defaultRowHeight="12.75"/>
  <cols>
    <col min="4" max="4" width="12.140625" style="0" customWidth="1"/>
    <col min="9" max="9" width="11.57421875" style="0" customWidth="1"/>
  </cols>
  <sheetData>
    <row r="1" spans="2:8" ht="18">
      <c r="B1" s="1" t="s">
        <v>150</v>
      </c>
      <c r="D1" s="12"/>
      <c r="E1" s="12"/>
      <c r="F1" s="12"/>
      <c r="G1" s="12"/>
      <c r="H1" s="12"/>
    </row>
    <row r="2" spans="2:8" ht="12.75">
      <c r="B2" s="12"/>
      <c r="C2" s="3" t="s">
        <v>151</v>
      </c>
      <c r="D2" s="12"/>
      <c r="E2" s="12"/>
      <c r="F2" s="12"/>
      <c r="G2" s="12"/>
      <c r="H2" s="12"/>
    </row>
    <row r="3" spans="2:8" ht="12.75">
      <c r="B3" s="12"/>
      <c r="C3" s="3" t="s">
        <v>152</v>
      </c>
      <c r="D3" s="12"/>
      <c r="E3" s="12"/>
      <c r="F3" s="12"/>
      <c r="G3" s="12"/>
      <c r="H3" s="12"/>
    </row>
    <row r="4" spans="2:8" ht="12.75">
      <c r="B4" s="3" t="s">
        <v>284</v>
      </c>
      <c r="C4" s="3"/>
      <c r="D4" s="12"/>
      <c r="E4" s="12"/>
      <c r="F4" s="12"/>
      <c r="G4" s="12"/>
      <c r="H4" s="12"/>
    </row>
    <row r="5" spans="2:8" ht="12.75">
      <c r="B5" s="12"/>
      <c r="C5" s="3"/>
      <c r="D5" s="12"/>
      <c r="E5" s="12"/>
      <c r="F5" s="12"/>
      <c r="G5" s="12"/>
      <c r="H5" s="12"/>
    </row>
    <row r="6" spans="1:8" ht="12.75">
      <c r="A6" s="8" t="s">
        <v>179</v>
      </c>
      <c r="B6" s="12"/>
      <c r="C6" s="12"/>
      <c r="D6" s="12"/>
      <c r="E6" s="12"/>
      <c r="F6" s="12"/>
      <c r="G6" s="12"/>
      <c r="H6" s="12"/>
    </row>
    <row r="8" spans="1:17" ht="12.75">
      <c r="A8" s="12" t="s">
        <v>180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2.75">
      <c r="A9" s="12" t="s">
        <v>167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>
      <c r="A10" s="12" t="s">
        <v>258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2.75">
      <c r="A11" s="12" t="s">
        <v>309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2.75">
      <c r="A12" s="12" t="s">
        <v>259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12" t="s">
        <v>260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2.75">
      <c r="A15" s="12" t="s">
        <v>310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2.75">
      <c r="A16" s="12" t="s">
        <v>311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2.75">
      <c r="A18" s="12" t="s">
        <v>181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2.75">
      <c r="A19" s="12" t="s">
        <v>167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2.75">
      <c r="A20" s="12" t="s">
        <v>261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2.75">
      <c r="A21" s="12" t="s">
        <v>305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2.75">
      <c r="A22" s="12" t="s">
        <v>312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12" t="s">
        <v>182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2.75">
      <c r="A26" s="12" t="s">
        <v>262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2.75">
      <c r="A27" s="12" t="s">
        <v>292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2.75">
      <c r="A28" s="12" t="s">
        <v>313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12" t="s">
        <v>293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2.75">
      <c r="A31" s="12" t="s">
        <v>183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2.75">
      <c r="A32" s="12" t="s">
        <v>167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2.75">
      <c r="A33" s="12" t="s">
        <v>314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2.75">
      <c r="A35" s="12" t="s">
        <v>184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2.75">
      <c r="A36" s="13" t="s">
        <v>185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.75">
      <c r="A37" s="12"/>
      <c r="C37" s="12"/>
      <c r="E37" s="31" t="s">
        <v>186</v>
      </c>
      <c r="F37" s="27"/>
      <c r="G37" s="30" t="s">
        <v>187</v>
      </c>
      <c r="J37" s="12"/>
      <c r="K37" s="12"/>
      <c r="L37" s="12"/>
      <c r="M37" s="12"/>
      <c r="N37" s="12"/>
      <c r="O37" s="12"/>
      <c r="P37" s="12"/>
      <c r="Q37" s="12"/>
    </row>
    <row r="38" spans="2:17" ht="12.75">
      <c r="B38" s="12"/>
      <c r="C38" s="12"/>
      <c r="E38" s="30" t="s">
        <v>239</v>
      </c>
      <c r="F38" s="30" t="s">
        <v>240</v>
      </c>
      <c r="G38" s="30" t="s">
        <v>239</v>
      </c>
      <c r="H38" s="30" t="s">
        <v>240</v>
      </c>
      <c r="J38" s="12"/>
      <c r="K38" s="12"/>
      <c r="L38" s="12"/>
      <c r="M38" s="12"/>
      <c r="N38" s="12"/>
      <c r="O38" s="12"/>
      <c r="P38" s="12"/>
      <c r="Q38" s="12"/>
    </row>
    <row r="39" spans="1:17" ht="12.75">
      <c r="A39" t="s">
        <v>188</v>
      </c>
      <c r="B39" s="12"/>
      <c r="C39" s="12"/>
      <c r="E39" s="28" t="s">
        <v>27</v>
      </c>
      <c r="F39" s="28" t="s">
        <v>69</v>
      </c>
      <c r="G39" s="28" t="s">
        <v>27</v>
      </c>
      <c r="H39" s="28" t="s">
        <v>69</v>
      </c>
      <c r="J39" s="12"/>
      <c r="K39" s="12"/>
      <c r="L39" s="12"/>
      <c r="M39" s="12"/>
      <c r="N39" s="12"/>
      <c r="O39" s="12"/>
      <c r="P39" s="12"/>
      <c r="Q39" s="12"/>
    </row>
    <row r="40" spans="2:17" ht="12.75">
      <c r="B40" s="12"/>
      <c r="C40" s="12"/>
      <c r="J40" s="12"/>
      <c r="K40" s="12"/>
      <c r="L40" s="12"/>
      <c r="M40" s="12"/>
      <c r="N40" s="12"/>
      <c r="O40" s="12"/>
      <c r="P40" s="12"/>
      <c r="Q40" s="12"/>
    </row>
    <row r="41" spans="1:17" ht="12.75">
      <c r="A41" s="13" t="s">
        <v>189</v>
      </c>
      <c r="B41" s="12"/>
      <c r="C41" s="12"/>
      <c r="E41" s="24">
        <v>-7</v>
      </c>
      <c r="F41" s="24">
        <v>-28</v>
      </c>
      <c r="G41" s="24">
        <v>-31</v>
      </c>
      <c r="H41" s="24">
        <v>-92</v>
      </c>
      <c r="J41" s="12"/>
      <c r="K41" s="12"/>
      <c r="L41" s="12"/>
      <c r="M41" s="12"/>
      <c r="N41" s="12"/>
      <c r="O41" s="12"/>
      <c r="P41" s="12"/>
      <c r="Q41" s="12"/>
    </row>
    <row r="42" spans="1:17" ht="12.75">
      <c r="A42" s="13" t="s">
        <v>190</v>
      </c>
      <c r="B42" s="12"/>
      <c r="C42" s="12"/>
      <c r="D42" s="12"/>
      <c r="E42" s="24" t="s">
        <v>6</v>
      </c>
      <c r="F42" s="24">
        <v>0</v>
      </c>
      <c r="G42" s="24">
        <v>0</v>
      </c>
      <c r="H42" s="24">
        <v>-61</v>
      </c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2.75">
      <c r="A43" s="12" t="s">
        <v>191</v>
      </c>
      <c r="B43" s="12"/>
      <c r="C43" s="12"/>
      <c r="D43" s="12"/>
      <c r="E43" s="24">
        <v>0</v>
      </c>
      <c r="F43" s="23">
        <v>0</v>
      </c>
      <c r="G43" s="24">
        <v>0</v>
      </c>
      <c r="H43" s="23">
        <v>0</v>
      </c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2.75">
      <c r="A44" s="12"/>
      <c r="B44" s="12"/>
      <c r="C44" s="12"/>
      <c r="D44" s="12"/>
      <c r="E44" s="25">
        <v>-7</v>
      </c>
      <c r="F44" s="25">
        <v>-25</v>
      </c>
      <c r="G44" s="25">
        <v>-31</v>
      </c>
      <c r="H44" s="25">
        <v>-153</v>
      </c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2.75">
      <c r="A45" s="12"/>
      <c r="B45" s="12"/>
      <c r="C45" s="12"/>
      <c r="D45" s="12"/>
      <c r="E45" s="12"/>
      <c r="F45" s="38"/>
      <c r="G45" s="20"/>
      <c r="H45" s="38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2.75">
      <c r="A46" s="12" t="s">
        <v>315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12.75">
      <c r="A47" s="12" t="s">
        <v>316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2.75">
      <c r="A48" s="13" t="s">
        <v>317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12.75">
      <c r="A49" s="13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2.75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2.75">
      <c r="A51" s="1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2.75">
      <c r="A52" s="13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2.75">
      <c r="A53" t="s">
        <v>192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12.75">
      <c r="A54" t="s">
        <v>294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2.75">
      <c r="A55" t="s">
        <v>193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12.75">
      <c r="A56" s="37" t="s">
        <v>194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12.75">
      <c r="A57" s="1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12.75">
      <c r="A58" s="12" t="s">
        <v>195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2.75">
      <c r="A60" s="12" t="s">
        <v>196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12.75">
      <c r="A61" s="12" t="s">
        <v>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2.75">
      <c r="A62" s="12" t="s">
        <v>197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ht="12.75">
      <c r="A64" s="12" t="s">
        <v>198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2.75">
      <c r="A65" s="13" t="s">
        <v>199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2.75">
      <c r="A67" s="12" t="s">
        <v>200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2.75">
      <c r="A68" s="12" t="s">
        <v>167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2.75">
      <c r="A69" s="12" t="s">
        <v>201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2.75">
      <c r="A71" s="12" t="s">
        <v>202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2.75">
      <c r="A73" s="12" t="s">
        <v>296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2.75">
      <c r="A74" s="20" t="s">
        <v>203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2.75">
      <c r="A75" s="45" t="s">
        <v>204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2.75">
      <c r="A76" s="46" t="s">
        <v>205</v>
      </c>
      <c r="B76" s="15"/>
      <c r="C76" s="16"/>
      <c r="D76" s="14" t="s">
        <v>206</v>
      </c>
      <c r="E76" s="16"/>
      <c r="F76" s="17"/>
      <c r="G76" s="15"/>
      <c r="H76" s="15"/>
      <c r="I76" s="16"/>
      <c r="J76" s="12"/>
      <c r="K76" s="12"/>
      <c r="L76" s="12"/>
      <c r="M76" s="12"/>
      <c r="N76" s="12"/>
      <c r="O76" s="12"/>
      <c r="P76" s="12"/>
      <c r="Q76" s="12"/>
    </row>
    <row r="77" spans="1:16" ht="12.75">
      <c r="A77" s="18" t="s">
        <v>207</v>
      </c>
      <c r="B77" s="20"/>
      <c r="C77" s="19"/>
      <c r="D77" s="18"/>
      <c r="E77" s="18"/>
      <c r="F77" s="20"/>
      <c r="G77" s="20"/>
      <c r="I77" s="19"/>
      <c r="J77" s="12"/>
      <c r="K77" s="12"/>
      <c r="L77" s="12"/>
      <c r="M77" s="12"/>
      <c r="N77" s="12"/>
      <c r="O77" s="12"/>
      <c r="P77" s="12"/>
    </row>
    <row r="78" spans="1:16" ht="12.75">
      <c r="A78" s="18" t="s">
        <v>208</v>
      </c>
      <c r="B78" s="20"/>
      <c r="C78" s="19"/>
      <c r="D78" s="18"/>
      <c r="E78" s="18"/>
      <c r="F78" s="20"/>
      <c r="G78" s="20"/>
      <c r="I78" s="19"/>
      <c r="J78" s="12"/>
      <c r="K78" s="12"/>
      <c r="L78" s="12"/>
      <c r="M78" s="12"/>
      <c r="N78" s="12"/>
      <c r="O78" s="12"/>
      <c r="P78" s="12"/>
    </row>
    <row r="79" spans="1:16" ht="12.75">
      <c r="A79" s="18"/>
      <c r="B79" s="20"/>
      <c r="C79" s="19"/>
      <c r="D79" s="39">
        <v>760000</v>
      </c>
      <c r="E79" s="18" t="s">
        <v>209</v>
      </c>
      <c r="F79" s="20"/>
      <c r="G79" s="20"/>
      <c r="I79" s="19"/>
      <c r="J79" s="12"/>
      <c r="K79" s="12"/>
      <c r="L79" s="12"/>
      <c r="M79" s="12"/>
      <c r="N79" s="12"/>
      <c r="O79" s="12"/>
      <c r="P79" s="12"/>
    </row>
    <row r="80" spans="1:16" ht="12.75">
      <c r="A80" s="26" t="s">
        <v>210</v>
      </c>
      <c r="B80" s="20"/>
      <c r="C80" s="19"/>
      <c r="D80" s="18"/>
      <c r="E80" s="18" t="s">
        <v>211</v>
      </c>
      <c r="F80" s="20"/>
      <c r="G80" s="20"/>
      <c r="H80" s="27"/>
      <c r="I80" s="44"/>
      <c r="J80" s="12"/>
      <c r="K80" s="12"/>
      <c r="L80" s="12"/>
      <c r="M80" s="12"/>
      <c r="N80" s="12"/>
      <c r="O80" s="12"/>
      <c r="P80" s="12"/>
    </row>
    <row r="81" spans="1:16" ht="12.75">
      <c r="A81" s="18" t="s">
        <v>212</v>
      </c>
      <c r="B81" s="20"/>
      <c r="C81" s="19"/>
      <c r="D81" s="18"/>
      <c r="E81" s="18"/>
      <c r="F81" s="20"/>
      <c r="G81" s="20"/>
      <c r="H81" s="27"/>
      <c r="I81" s="19"/>
      <c r="J81" s="12"/>
      <c r="K81" s="12"/>
      <c r="L81" s="12"/>
      <c r="M81" s="12"/>
      <c r="N81" s="12"/>
      <c r="O81" s="12"/>
      <c r="P81" s="12"/>
    </row>
    <row r="82" spans="1:16" ht="12.75">
      <c r="A82" s="18" t="s">
        <v>213</v>
      </c>
      <c r="B82" s="20"/>
      <c r="C82" s="19"/>
      <c r="D82" s="18"/>
      <c r="E82" s="18"/>
      <c r="F82" s="20"/>
      <c r="G82" s="20"/>
      <c r="H82" s="27"/>
      <c r="I82" s="19"/>
      <c r="J82" s="12"/>
      <c r="K82" s="12"/>
      <c r="L82" s="12"/>
      <c r="M82" s="12"/>
      <c r="N82" s="12"/>
      <c r="O82" s="12"/>
      <c r="P82" s="12"/>
    </row>
    <row r="83" spans="1:16" ht="12.75">
      <c r="A83" s="18" t="s">
        <v>214</v>
      </c>
      <c r="B83" s="20"/>
      <c r="C83" s="19"/>
      <c r="D83" s="21">
        <v>1412355</v>
      </c>
      <c r="E83" s="18" t="s">
        <v>209</v>
      </c>
      <c r="F83" s="20"/>
      <c r="G83" s="20"/>
      <c r="H83" s="20"/>
      <c r="I83" s="19"/>
      <c r="J83" s="12"/>
      <c r="K83" s="12"/>
      <c r="L83" s="12"/>
      <c r="M83" s="12"/>
      <c r="N83" s="12"/>
      <c r="O83" s="12"/>
      <c r="P83" s="12"/>
    </row>
    <row r="84" spans="1:16" ht="12.75">
      <c r="A84" s="18"/>
      <c r="B84" s="20"/>
      <c r="C84" s="19"/>
      <c r="D84" s="18"/>
      <c r="E84" s="18" t="s">
        <v>215</v>
      </c>
      <c r="F84" s="20"/>
      <c r="G84" s="20"/>
      <c r="H84" s="20"/>
      <c r="I84" s="19"/>
      <c r="J84" s="12"/>
      <c r="K84" s="12"/>
      <c r="L84" s="12"/>
      <c r="M84" s="12"/>
      <c r="N84" s="12"/>
      <c r="O84" s="12"/>
      <c r="P84" s="12"/>
    </row>
    <row r="85" spans="1:16" ht="12.75">
      <c r="A85" s="18"/>
      <c r="B85" s="20"/>
      <c r="C85" s="19"/>
      <c r="D85" s="18"/>
      <c r="E85" s="18" t="s">
        <v>216</v>
      </c>
      <c r="F85" s="20"/>
      <c r="G85" s="20"/>
      <c r="H85" s="20"/>
      <c r="I85" s="19"/>
      <c r="J85" s="12"/>
      <c r="K85" s="12"/>
      <c r="L85" s="12"/>
      <c r="M85" s="12"/>
      <c r="N85" s="12"/>
      <c r="O85" s="12"/>
      <c r="P85" s="12"/>
    </row>
    <row r="86" spans="1:16" ht="12.75">
      <c r="A86" s="18"/>
      <c r="B86" s="20"/>
      <c r="C86" s="19"/>
      <c r="D86" s="18"/>
      <c r="E86" s="18" t="s">
        <v>217</v>
      </c>
      <c r="F86" s="20"/>
      <c r="G86" s="20"/>
      <c r="H86" s="20"/>
      <c r="I86" s="19"/>
      <c r="J86" s="12"/>
      <c r="K86" s="12"/>
      <c r="L86" s="12"/>
      <c r="M86" s="12"/>
      <c r="N86" s="12"/>
      <c r="O86" s="12"/>
      <c r="P86" s="12"/>
    </row>
    <row r="87" spans="1:16" ht="12.75">
      <c r="A87" s="132"/>
      <c r="B87" s="20"/>
      <c r="C87" s="19"/>
      <c r="D87" s="18"/>
      <c r="E87" s="18" t="s">
        <v>218</v>
      </c>
      <c r="F87" s="20"/>
      <c r="G87" s="20"/>
      <c r="H87" s="19"/>
      <c r="I87" s="19"/>
      <c r="J87" s="12"/>
      <c r="K87" s="12"/>
      <c r="L87" s="12"/>
      <c r="M87" s="12"/>
      <c r="N87" s="12"/>
      <c r="O87" s="12"/>
      <c r="P87" s="12"/>
    </row>
    <row r="88" spans="1:16" ht="12.75">
      <c r="A88" s="17"/>
      <c r="B88" s="15"/>
      <c r="C88" s="15" t="s">
        <v>122</v>
      </c>
      <c r="D88" s="47">
        <f>+D83+D79</f>
        <v>2172355</v>
      </c>
      <c r="E88" s="15"/>
      <c r="F88" s="15"/>
      <c r="G88" s="15"/>
      <c r="H88" s="15"/>
      <c r="I88" s="16"/>
      <c r="J88" s="12"/>
      <c r="K88" s="12"/>
      <c r="L88" s="12"/>
      <c r="M88" s="12"/>
      <c r="N88" s="12"/>
      <c r="O88" s="12"/>
      <c r="P88" s="12"/>
    </row>
    <row r="89" spans="1:17" ht="12.75">
      <c r="A89" s="20"/>
      <c r="B89" s="20"/>
      <c r="C89" s="20"/>
      <c r="D89" s="33"/>
      <c r="E89" s="20"/>
      <c r="F89" s="20"/>
      <c r="G89" s="20"/>
      <c r="H89" s="20"/>
      <c r="I89" s="20"/>
      <c r="J89" s="12"/>
      <c r="K89" s="12"/>
      <c r="L89" s="12"/>
      <c r="M89" s="12"/>
      <c r="N89" s="12"/>
      <c r="O89" s="12"/>
      <c r="P89" s="12"/>
      <c r="Q89" s="12"/>
    </row>
    <row r="90" spans="1:17" ht="12.75">
      <c r="A90" s="12" t="s">
        <v>219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spans="1:17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ht="12.75">
      <c r="A92" s="12" t="s">
        <v>220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12.75">
      <c r="A93" s="12" t="s">
        <v>6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ht="12.75">
      <c r="A94" s="12" t="s">
        <v>221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ht="12.75">
      <c r="A95" s="12" t="s">
        <v>167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ht="12.75">
      <c r="A96" s="12" t="s">
        <v>222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</row>
    <row r="99" spans="1:17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</row>
    <row r="100" spans="1:17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1:17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ht="12.75">
      <c r="A105" s="12" t="s">
        <v>249</v>
      </c>
      <c r="B105" s="12"/>
      <c r="C105" s="12"/>
      <c r="D105" s="12"/>
      <c r="E105" s="12"/>
      <c r="F105" s="12"/>
      <c r="G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2.75">
      <c r="A106" s="12" t="s">
        <v>6</v>
      </c>
      <c r="B106" s="12"/>
      <c r="C106" s="12"/>
      <c r="D106" s="12"/>
      <c r="E106" s="12"/>
      <c r="F106" s="3" t="s">
        <v>223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2.75">
      <c r="A107" s="12"/>
      <c r="B107" s="12"/>
      <c r="C107" s="12"/>
      <c r="D107" s="12"/>
      <c r="E107" s="12"/>
      <c r="F107" s="49">
        <v>2003</v>
      </c>
      <c r="G107" s="12"/>
      <c r="H107" s="11">
        <v>2002</v>
      </c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2:17" ht="12.75">
      <c r="B108" s="12"/>
      <c r="C108" s="12"/>
      <c r="D108" s="12"/>
      <c r="E108" s="12"/>
      <c r="F108" s="3" t="s">
        <v>224</v>
      </c>
      <c r="G108" s="12"/>
      <c r="H108" s="3" t="s">
        <v>224</v>
      </c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2.75">
      <c r="A109" s="12" t="s">
        <v>297</v>
      </c>
      <c r="C109" s="12"/>
      <c r="D109" s="12"/>
      <c r="E109" s="12"/>
      <c r="F109" s="34" t="s">
        <v>225</v>
      </c>
      <c r="G109" s="12"/>
      <c r="H109" s="34" t="s">
        <v>225</v>
      </c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ht="12.75">
      <c r="A110" s="12" t="s">
        <v>243</v>
      </c>
      <c r="C110" s="12"/>
      <c r="D110" s="12"/>
      <c r="E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2.75">
      <c r="A111" s="12" t="s">
        <v>247</v>
      </c>
      <c r="B111" s="12"/>
      <c r="C111" s="12"/>
      <c r="D111" s="12"/>
      <c r="E111" s="12"/>
      <c r="F111" s="22"/>
      <c r="G111" s="12"/>
      <c r="H111" s="22">
        <v>1012.5</v>
      </c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2.75">
      <c r="A112" s="12"/>
      <c r="B112" s="12"/>
      <c r="C112" s="12"/>
      <c r="D112" s="12"/>
      <c r="E112" s="12"/>
      <c r="F112" s="22"/>
      <c r="G112" s="12"/>
      <c r="H112" s="2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ht="12.75">
      <c r="A113" s="12" t="s">
        <v>245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ht="12.75">
      <c r="A114" s="12" t="s">
        <v>248</v>
      </c>
      <c r="B114" s="12"/>
      <c r="C114" s="12"/>
      <c r="D114" s="12"/>
      <c r="E114" s="12"/>
      <c r="F114" s="22"/>
      <c r="G114" s="12"/>
      <c r="H114" s="35" t="s">
        <v>226</v>
      </c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2.75">
      <c r="A115" s="12"/>
      <c r="B115" s="12"/>
      <c r="C115" s="12"/>
      <c r="D115" s="12"/>
      <c r="E115" s="12"/>
      <c r="F115" s="22"/>
      <c r="G115" s="12"/>
      <c r="H115" s="35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ht="12.75">
      <c r="A116" s="12" t="s">
        <v>243</v>
      </c>
      <c r="C116" s="12"/>
      <c r="D116" s="12"/>
      <c r="E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ht="12.75">
      <c r="A117" s="12" t="s">
        <v>244</v>
      </c>
      <c r="B117" s="12"/>
      <c r="C117" s="12"/>
      <c r="D117" s="12"/>
      <c r="E117" s="12"/>
      <c r="F117" s="22">
        <v>1012.5</v>
      </c>
      <c r="G117" s="12"/>
      <c r="H117" s="2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2.75">
      <c r="A118" s="12"/>
      <c r="B118" s="12"/>
      <c r="C118" s="12"/>
      <c r="D118" s="12"/>
      <c r="E118" s="12"/>
      <c r="F118" s="22"/>
      <c r="G118" s="12"/>
      <c r="H118" s="2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ht="12.75">
      <c r="A119" s="12" t="s">
        <v>245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1:17" ht="12.75">
      <c r="A120" s="12" t="s">
        <v>246</v>
      </c>
      <c r="B120" s="12"/>
      <c r="C120" s="12"/>
      <c r="D120" s="12"/>
      <c r="E120" s="12"/>
      <c r="F120" s="22">
        <v>1012.5</v>
      </c>
      <c r="G120" s="12"/>
      <c r="H120" s="35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2.75">
      <c r="A121" s="12"/>
      <c r="B121" s="12"/>
      <c r="C121" s="12"/>
      <c r="D121" s="12"/>
      <c r="E121" s="12"/>
      <c r="F121" s="22"/>
      <c r="G121" s="12"/>
      <c r="H121" s="35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2:17" ht="13.5" thickBot="1">
      <c r="B122" s="12" t="s">
        <v>295</v>
      </c>
      <c r="C122" s="12"/>
      <c r="D122" s="12"/>
      <c r="E122" s="12"/>
      <c r="F122" s="43">
        <v>2025</v>
      </c>
      <c r="G122" s="12"/>
      <c r="H122" s="29" t="s">
        <v>227</v>
      </c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ht="13.5" thickTop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ht="12.75">
      <c r="A124" s="12" t="s">
        <v>228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ht="12.75">
      <c r="A125" s="12" t="s">
        <v>229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ht="12.75">
      <c r="A126" s="12"/>
      <c r="B126" s="12"/>
      <c r="C126" s="12"/>
      <c r="D126" s="12"/>
      <c r="E126" s="31" t="s">
        <v>186</v>
      </c>
      <c r="F126" s="27"/>
      <c r="G126" s="30" t="s">
        <v>187</v>
      </c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ht="12.75">
      <c r="A127" s="12"/>
      <c r="B127" s="12"/>
      <c r="C127" s="12"/>
      <c r="D127" s="12"/>
      <c r="E127" s="30" t="s">
        <v>239</v>
      </c>
      <c r="F127" s="30" t="s">
        <v>240</v>
      </c>
      <c r="G127" s="30" t="s">
        <v>239</v>
      </c>
      <c r="H127" s="30" t="s">
        <v>240</v>
      </c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ht="12.75">
      <c r="A128" s="12"/>
      <c r="B128" s="12"/>
      <c r="C128" s="12"/>
      <c r="D128" s="12"/>
      <c r="E128" s="28" t="s">
        <v>27</v>
      </c>
      <c r="F128" s="28" t="s">
        <v>69</v>
      </c>
      <c r="G128" s="28" t="s">
        <v>27</v>
      </c>
      <c r="H128" s="28" t="s">
        <v>69</v>
      </c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1:17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1:17" ht="12.75">
      <c r="A130" s="12" t="s">
        <v>306</v>
      </c>
      <c r="B130" s="12"/>
      <c r="C130" s="12"/>
      <c r="D130" s="12"/>
      <c r="E130" s="32">
        <f>1466</f>
        <v>1466</v>
      </c>
      <c r="F130" s="32">
        <v>467</v>
      </c>
      <c r="G130" s="32">
        <v>559</v>
      </c>
      <c r="H130" s="40">
        <v>2167</v>
      </c>
      <c r="J130" s="12"/>
      <c r="K130" s="12"/>
      <c r="L130" s="12"/>
      <c r="M130" s="12"/>
      <c r="N130" s="12"/>
      <c r="O130" s="12"/>
      <c r="P130" s="12"/>
      <c r="Q130" s="12"/>
    </row>
    <row r="131" spans="1:17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ht="12.75">
      <c r="A132" s="13" t="s">
        <v>230</v>
      </c>
      <c r="B132" s="12"/>
      <c r="C132" s="12"/>
      <c r="D132" s="12"/>
      <c r="E132" s="41">
        <v>20250</v>
      </c>
      <c r="F132" s="41">
        <v>20250</v>
      </c>
      <c r="G132" s="41">
        <v>20250</v>
      </c>
      <c r="H132" s="41">
        <v>20250</v>
      </c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ht="12.75">
      <c r="A133" s="13" t="s">
        <v>231</v>
      </c>
      <c r="B133" s="12"/>
      <c r="C133" s="12"/>
      <c r="D133" s="12"/>
      <c r="E133" s="42"/>
      <c r="F133" s="42"/>
      <c r="G133" s="42"/>
      <c r="H133" s="4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ht="12.75">
      <c r="A135" s="12" t="s">
        <v>232</v>
      </c>
      <c r="B135" s="12"/>
      <c r="C135" s="12"/>
      <c r="D135" s="12"/>
      <c r="E135" s="23">
        <f>+E130/E132*100</f>
        <v>7.239506172839507</v>
      </c>
      <c r="F135" s="23">
        <f>+F130/F132*100</f>
        <v>2.306172839506173</v>
      </c>
      <c r="G135" s="23">
        <f>+G130/G132*100</f>
        <v>2.7604938271604937</v>
      </c>
      <c r="H135" s="23">
        <f>+H130/H132*100</f>
        <v>10.701234567901235</v>
      </c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ht="12.75">
      <c r="A137" s="12" t="s">
        <v>233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1:17" ht="12.75">
      <c r="A138" s="13" t="s">
        <v>298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1:17" ht="12.75">
      <c r="A139" s="13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1:17" ht="12.75">
      <c r="A140" s="12" t="s">
        <v>234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ht="12.75">
      <c r="A142" s="13" t="s">
        <v>235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ht="12.75">
      <c r="A143" s="13" t="s">
        <v>299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ABCDEFGHI</dc:creator>
  <cp:keywords/>
  <dc:description/>
  <cp:lastModifiedBy>PFA</cp:lastModifiedBy>
  <cp:lastPrinted>2003-11-19T10:02:17Z</cp:lastPrinted>
  <dcterms:created xsi:type="dcterms:W3CDTF">2003-08-29T04:29:58Z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